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userName="Holland, David" algorithmName="SHA-512" hashValue="sH9mxT5DNqncyr3Ymjlsvo3H+PZRXIwv/rafQW60n2z/6QuvxpybWAoifOzjy9HGfYKTUc0XsLpiQkN+/5c/fA==" saltValue="jsc4ClEpyAOsdtz4LRaVNw==" spinCount="100000"/>
  <workbookPr codeName="ThisWorkbook"/>
  <mc:AlternateContent xmlns:mc="http://schemas.openxmlformats.org/markup-compatibility/2006">
    <mc:Choice Requires="x15">
      <x15ac:absPath xmlns:x15ac="http://schemas.microsoft.com/office/spreadsheetml/2010/11/ac" url="https://iberdrola.sharepoint.com/sites/spen-npr-licfin/RFPR 2223/01_Consol/02_Final/Website/"/>
    </mc:Choice>
  </mc:AlternateContent>
  <xr:revisionPtr revIDLastSave="0" documentId="10_ncr:10000_{DBDC5ADF-7EF7-46DE-9007-64C706E37B4A}" xr6:coauthVersionLast="47" xr6:coauthVersionMax="47" xr10:uidLastSave="{00000000-0000-0000-0000-000000000000}"/>
  <bookViews>
    <workbookView xWindow="-28920" yWindow="-90" windowWidth="29040" windowHeight="15840" tabRatio="842" xr2:uid="{37A5C833-B79A-4C85-B2C6-63A9D5B4A359}"/>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6 - Net Debt" sheetId="27" r:id="rId10"/>
    <sheet name="R7 - RAV" sheetId="10" r:id="rId11"/>
    <sheet name="R8 - Tax" sheetId="29" r:id="rId12"/>
    <sheet name="R9 - Corporate Governance" sheetId="11" r:id="rId13"/>
    <sheet name="R10 - Pensions &amp; Oth Activities" sheetId="19"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hidden="1">#REF!</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hidden="1">[3]Sheet1!#REF!</definedName>
    <definedName name="ACwvu.Japan_Capers_Ed_Pub." hidden="1">#REF!</definedName>
    <definedName name="ACwvu.KJP_CC." hidden="1">#REF!</definedName>
    <definedName name="Adjusted_regulated_tax_liability">'R8 - Tax'!$E$36:$I$36</definedName>
    <definedName name="Adjusted_regulated_tax_liability__Reporting_Year">'R8 - Tax'!$E$36:$I$36</definedName>
    <definedName name="ARCMt">'[4]R4 Licence Condition Values'!$G$32:$N$32</definedName>
    <definedName name="ARtDR5" comment="Allowed distribution netwrok reveue in 2014/15">'[4]R5 Input Page'!$E$48:$F$48</definedName>
    <definedName name="asdas" hidden="1">{#N/A,#N/A,FALSE,"TMCOMP96";#N/A,#N/A,FALSE,"MAT96";#N/A,#N/A,FALSE,"FANDA96";#N/A,#N/A,FALSE,"INTRAN96";#N/A,#N/A,FALSE,"NAA9697";#N/A,#N/A,FALSE,"ECWEBB";#N/A,#N/A,FALSE,"MFT96";#N/A,#N/A,FALSE,"CTrecon"}</definedName>
    <definedName name="AUM">'[4]R5 Input Page'!$G$133:$N$133</definedName>
    <definedName name="b" hidden="1">{"staff",#N/A,FALSE,"Current Month"}</definedName>
    <definedName name="bb" hidden="1">{#N/A,#N/A,FALSE,"PRJCTED MNTHLY QTY's"}</definedName>
    <definedName name="bbbb" hidden="1">{#N/A,#N/A,FALSE,"PRJCTED QTRLY QTY's"}</definedName>
    <definedName name="bbbbbb" hidden="1">{#N/A,#N/A,FALSE,"PRJCTED QTRLY QTY's"}</definedName>
    <definedName name="BExEZ4HBCC06708765M8A06KCR7P" hidden="1">#N/A</definedName>
    <definedName name="BLPH1" hidden="1">[5]Sheet2!#REF!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[5]Sheet2!#REF!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'[6]Risk-Free Rate'!$AQ$15</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'[6]Risk-Free Rate'!$AN$15</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'[6]Risk-Free Rate'!$AK$15</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'[6]Risk-Free Rate'!$AH$15</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'[6]Risk-Free Rate'!$AE$15</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'[6]Risk-Free Rate'!$AB$15</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'[6]Risk-Free Rate'!$Y$15</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'[6]Risk-Free Rate'!$V$15</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'[6]Risk-Free Rate'!$S$15</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'[6]Risk-Free Rate'!$P$15</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'[6]Risk-Free Rate'!$M$15</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'[6]Risk-Free Rate'!$J$15</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'[6]Risk-Free Rate'!$G$15</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'[6]Risk-Free Rate'!$D$15</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'[6]Risk-Free Rate'!$A$15</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[5]Sheet2!#REF!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Mt_2">'[4]R5 Input Page'!$E$65:$F$65</definedName>
    <definedName name="BPC">'[4]R5 Input Page'!$G$123:$N$123</definedName>
    <definedName name="Business_Plan_Incentive">'R1 - RoRE'!$D$67:$H$67</definedName>
    <definedName name="calendar_year">Data!$F$26:$L$26</definedName>
    <definedName name="CAS">'[4]R5 Input Page'!$G$70:$N$70</definedName>
    <definedName name="CGSPM">'[4]R5 Input Page'!$G$136:$N$136</definedName>
    <definedName name="CGSRA">'[4]R11 Connections Performance'!$G$18:$N$18</definedName>
    <definedName name="CIA">'[4]R5 Input Page'!$G$82:$N$82</definedName>
    <definedName name="CIB">'[4]R5 Input Page'!$G$83:$N$83</definedName>
    <definedName name="CIBt_2">'[4]R5 Input Page'!$G$87:$N$87</definedName>
    <definedName name="CIBt_3">'[4]R5 Input Page'!$G$88:$N$88</definedName>
    <definedName name="CIBt_4">'[4]R5 Input Page'!$G$89:$N$89</definedName>
    <definedName name="CIC">'[4]R5 Input Page'!$G$84:$N$84</definedName>
    <definedName name="CID">'[4]R5 Input Page'!$G$85:$N$85</definedName>
    <definedName name="CIE">'[4]R5 Input Page'!$G$86:$N$86</definedName>
    <definedName name="CIM">'[4]R5 Input Page'!$G$71:$N$71</definedName>
    <definedName name="CMLA">'[4]R5 Input Page'!$G$90:$N$90</definedName>
    <definedName name="CMLB">'[4]R5 Input Page'!$G$91:$N$91</definedName>
    <definedName name="CMLBt_2">'[4]R5 Input Page'!$G$95:$N$95</definedName>
    <definedName name="CMLBt_3">'[4]R5 Input Page'!$G$96:$N$96</definedName>
    <definedName name="CMLBt_4">'[4]R5 Input Page'!$G$97:$N$97</definedName>
    <definedName name="CMLC">'[4]R5 Input Page'!$G$92:$N$92</definedName>
    <definedName name="CMLD">'[4]R5 Input Page'!$G$93:$N$93</definedName>
    <definedName name="CMLE">'[4]R5 Input Page'!$G$94:$N$94</definedName>
    <definedName name="Combined_real_to_nominal_prices_conversion_factor__financial_year_end">Data!$F$29:$L$29</definedName>
    <definedName name="Corporate_Tax">Data!$C$19:$N$19</definedName>
    <definedName name="Cost_of_Equity">Data!$C$6</definedName>
    <definedName name="CPIRt">'[4]R4 Licence Condition Values'!$G$29:$N$29</definedName>
    <definedName name="CRC5B">'[4]R5 Input Page'!$G$139:$N$139</definedName>
    <definedName name="CRC5C">'[4]R5 Input Page'!$G$140:$N$140</definedName>
    <definedName name="CRC5E">'[4]R5 Input Page'!$G$141:$N$141</definedName>
    <definedName name="CRIRt">'[4]R4 Licence Condition Values'!$G$22:$N$22</definedName>
    <definedName name="CSADt">'[4]R4 Licence Condition Values'!$G$25:$N$25</definedName>
    <definedName name="CSAUt">'[4]R4 Licence Condition Values'!$G$19:$N$19</definedName>
    <definedName name="CSBDt">'[4]R4 Licence Condition Values'!$G$28:$N$28</definedName>
    <definedName name="CSBUt">'[4]R4 Licence Condition Values'!$G$21:$N$21</definedName>
    <definedName name="CSCDt">'[4]R4 Licence Condition Values'!$G$30:$N$30</definedName>
    <definedName name="CSCUt">'[4]R4 Licence Condition Values'!$G$23:$N$23</definedName>
    <definedName name="CT">'[4]R5 Input Page'!$G$35:$N$35</definedName>
    <definedName name="Cwvu.CapersView." hidden="1">[3]Sheet1!#REF!</definedName>
    <definedName name="Cwvu.Japan_Capers_Ed_Pub." hidden="1">[3]Sheet1!#REF!</definedName>
    <definedName name="Debt_performance___at_notional_gearing">'R1 - RoRE'!$D$84:$H$84</definedName>
    <definedName name="Debt_performance___impact_of_actual_gearing">'R1 - RoRE'!$D$85:$H$85</definedName>
    <definedName name="DecimalPlaces">'[7]Check Sheet'!$K$9</definedName>
    <definedName name="dgsgf" hidden="1">{#N/A,#N/A,FALSE,"TMCOMP96";#N/A,#N/A,FALSE,"MAT96";#N/A,#N/A,FALSE,"FANDA96";#N/A,#N/A,FALSE,"INTRAN96";#N/A,#N/A,FALSE,"NAA9697";#N/A,#N/A,FALSE,"ECWEBB";#N/A,#N/A,FALSE,"MFT96";#N/A,#N/A,FALSE,"CTrecon"}</definedName>
    <definedName name="Distribution" hidden="1">#REF!</definedName>
    <definedName name="DLGT">'[4]R12 DPCR4 Losses and Growth'!$G$9:$N$9</definedName>
    <definedName name="DNOName">'[7]Cover Sheet'!$D$20:$D$33</definedName>
    <definedName name="DR5Q">'[4]R5 Input Page'!$E$81:$F$81</definedName>
    <definedName name="ENIA">'[4]R5 Input Page'!$G$122:$N$122</definedName>
    <definedName name="Equity_RAV_based_on_actual_gearing">'R1 - RoRE'!$D$91:$H$91</definedName>
    <definedName name="Equity_Return_on_the_RAV">'R1 - RoRE'!$D$65:$H$65</definedName>
    <definedName name="ESTR">'[4]R4 Licence Condition Values'!$G$7:$N$7</definedName>
    <definedName name="ExtraProfiles" hidden="1">#REF!</definedName>
    <definedName name="f" hidden="1">{"'PRODUCTIONCOST SHEET'!$B$3:$G$48"}</definedName>
    <definedName name="ff" hidden="1">{#N/A,#N/A,FALSE,"PRJCTED MNTHLY QTY's"}</definedName>
    <definedName name="fffff" hidden="1">{#N/A,#N/A,FALSE,"PRJCTED QTRLY QTY's"}</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PPR">'[4]R5 Input Page'!$G$100:$N$100</definedName>
    <definedName name="GAS">'[4]R5 Input Page'!$G$72:$N$72</definedName>
    <definedName name="ghj" hidden="1">{#N/A,#N/A,FALSE,"TMCOMP96";#N/A,#N/A,FALSE,"MAT96";#N/A,#N/A,FALSE,"FANDA96";#N/A,#N/A,FALSE,"INTRAN96";#N/A,#N/A,FALSE,"NAA9697";#N/A,#N/A,FALSE,"ECWEBB";#N/A,#N/A,FALSE,"MFT96";#N/A,#N/A,FALSE,"CTrecon"}</definedName>
    <definedName name="GIM">'[4]R5 Input Page'!$G$73:$N$73</definedName>
    <definedName name="gjk" hidden="1">{#N/A,#N/A,FALSE,"DI 2 YEAR MASTER SCHEDULE"}</definedName>
    <definedName name="GPIRt">'[4]R4 Licence Condition Values'!$G$31:$N$31</definedName>
    <definedName name="GRIRt">'[4]R4 Licence Condition Values'!$G$24:$N$24</definedName>
    <definedName name="GTA">'[4]R12 DPCR4 Losses and Growth'!$G$15:$N$15</definedName>
    <definedName name="GTAA">'[4]R4 Licence Condition Values'!$F$62</definedName>
    <definedName name="gwge" hidden="1">#REF!</definedName>
    <definedName name="HB">'[4]R5 Input Page'!$G$62:$N$62</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EO">'[4]R5 Input Page'!$G$106:$N$106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'[4]R4 Licence Condition Values'!$F$65</definedName>
    <definedName name="IRAt">'[4]R4 Licence Condition Values'!$G$37:$N$37</definedName>
    <definedName name="IRBt">'[4]R4 Licence Condition Values'!$G$40:$N$40</definedName>
    <definedName name="IRCMt">'[4]R4 Licence Condition Values'!$G$33:$N$33</definedName>
    <definedName name="It">'[4]R5 Input Page'!$D$50:$N$50</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'[4]R13 Correction Factor'!$G$14:$N$14</definedName>
    <definedName name="khkjk" hidden="1">{"staff",#N/A,FALSE,"Current Month"}</definedName>
    <definedName name="l" hidden="1">{#N/A,#N/A,FALSE,"DI 2 YEAR MASTER SCHEDULE"}</definedName>
    <definedName name="LCN1t">'[4]R5 Input Page'!$G$129:$N$129</definedName>
    <definedName name="LCN2t">'[4]R5 Input Page'!$G$128:$N$128</definedName>
    <definedName name="LDRO">'[4]R5 Input Page'!$G$119:$N$119</definedName>
    <definedName name="LF">'[4]R8 Pass-Through Items'!$G$26:$N$26</definedName>
    <definedName name="LFA">'[4]R5 Input Page'!$G$53:$N$53</definedName>
    <definedName name="LFE">'[4]R4 Licence Condition Values'!$G$10:$N$10</definedName>
    <definedName name="Licensee">'RFPR cover'!$C$7</definedName>
    <definedName name="ListOffset" hidden="1">1</definedName>
    <definedName name="lkl" hidden="1">{#N/A,#N/A,FALSE,"DI 2 YEAR MASTER SCHEDULE"}</definedName>
    <definedName name="LookupK">'[4]R13 Correction Factor'!$B$80:$H$93</definedName>
    <definedName name="LookupPPLD">'[4]R12 DPCR4 Losses and Growth'!$D$38:$N$51</definedName>
    <definedName name="materiality_threshold">Data!$F$7</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'[4]R5 Input Page'!$G$44:$N$44</definedName>
    <definedName name="N_A">'R8 - Tax'!$E$11:$H$11</definedName>
    <definedName name="Navigate">'RFPR cover'!$D$2</definedName>
    <definedName name="NCPD">'[4]R5 Input Page'!$G$102:$N$102</definedName>
    <definedName name="NCPM">'[4]R5 Input Page'!$G$101:$N$101</definedName>
    <definedName name="NIAR">'[4]R5 Input Page'!$G$124:$N$124</definedName>
    <definedName name="NIAV">'[4]R4 Licence Condition Values'!$F$56</definedName>
    <definedName name="nn" hidden="1">{#N/A,#N/A,FALSE,"PRJCTED QTRLY $'s"}</definedName>
    <definedName name="Notional_Gearing">Data!$C$8</definedName>
    <definedName name="NPV_neutral_equity_element_of_RAV">'R1 - RoRE'!$D$90:$H$90</definedName>
    <definedName name="odd" hidden="1">{"staff",#N/A,FALSE,"Current Month"}</definedName>
    <definedName name="ODI_1">'R1 - RoRE'!$D$68:$H$68</definedName>
    <definedName name="ODI_2">'R1 - RoRE'!$D$69:$H$69</definedName>
    <definedName name="ODI_3">'R1 - RoRE'!$D$70:$H$70</definedName>
    <definedName name="ODI_4">'R1 - RoRE'!$D$71:$H$71</definedName>
    <definedName name="ODI_5">'R1 - RoRE'!$D$72:$H$72</definedName>
    <definedName name="ODI_6">'R1 - RoRE'!$D$73:$H$73</definedName>
    <definedName name="OOEE">'[4]R5 Input Page'!$G$103:$N$103</definedName>
    <definedName name="Option2" hidden="1">{#N/A,#N/A,FALSE,"TMCOMP96";#N/A,#N/A,FALSE,"MAT96";#N/A,#N/A,FALSE,"FANDA96";#N/A,#N/A,FALSE,"INTRAN96";#N/A,#N/A,FALSE,"NAA9697";#N/A,#N/A,FALSE,"ECWEBB";#N/A,#N/A,FALSE,"MFT96";#N/A,#N/A,FALSE,"CTrecon"}</definedName>
    <definedName name="ORA_1">'R1 - RoRE'!$D$74:$H$74</definedName>
    <definedName name="ORA_2">'R1 - RoRE'!$D$75:$H$75</definedName>
    <definedName name="ORA_3">'R1 - RoRE'!$D$76:$H$76</definedName>
    <definedName name="ORA_4">'R1 - RoRE'!$D$77:$H$77</definedName>
    <definedName name="ORA_5">'R1 - RoRE'!$D$78:$H$78</definedName>
    <definedName name="ORA_6">'R1 - RoRE'!$D$79:$H$79</definedName>
    <definedName name="ORA_7">'R1 - RoRE'!$D$80:$H$80</definedName>
    <definedName name="ORA_8">'R1 - RoRE'!$D$81:$H$81</definedName>
    <definedName name="Pal_Workbook_GUID" hidden="1">"LJ9YVKRJVQ1A1KNUG7XIT5A9"</definedName>
    <definedName name="PCUDPO">'[4]R5 Input Page'!$G$74:$N$74</definedName>
    <definedName name="PCUDPT">'[4]R5 Input Page'!$G$75:$N$75</definedName>
    <definedName name="Penalties_and_fines">'R1 - RoRE'!$D$82:$H$82</definedName>
    <definedName name="POF">'[4]R5 Input Page'!$G$77:$N$77</definedName>
    <definedName name="Pop" hidden="1">[8]Population!#REF!</definedName>
    <definedName name="Population" hidden="1">#REF!</definedName>
    <definedName name="PPL">'[4]R12 DPCR4 Losses and Growth'!$G$34:$N$34</definedName>
    <definedName name="PRC">'[4]R5 Input Page'!$G$76:$N$76</definedName>
    <definedName name="Price_basis">Data!$C$9</definedName>
    <definedName name="_xlnm.Print_Area" localSheetId="3">'Change log'!$A$1:$E$31</definedName>
    <definedName name="_xlnm.Print_Area" localSheetId="2">'Content &amp; Version Control'!$A$1:$H$19</definedName>
    <definedName name="_xlnm.Print_Area" localSheetId="4">'R1 - RoRE'!$A$1:$L$64</definedName>
    <definedName name="_xlnm.Print_Area" localSheetId="13">'R10 - Pensions &amp; Oth Activities'!$A$1:$H$44</definedName>
    <definedName name="_xlnm.Print_Area" localSheetId="5">'R2 - Rec to Revenue and Profit'!$A$1:$J$62</definedName>
    <definedName name="_xlnm.Print_Area" localSheetId="6">'R3 - Totex - Reconciliation'!$A$1:$J$106</definedName>
    <definedName name="_xlnm.Print_Area" localSheetId="7">'R4 - Incentives and Other Rev'!$A$1:$I$32</definedName>
    <definedName name="_xlnm.Print_Area" localSheetId="8">'R5 - Financing'!$A$1:$I$83</definedName>
    <definedName name="_xlnm.Print_Area" localSheetId="9">'R6 - Net Debt'!$A$1:$I$63</definedName>
    <definedName name="_xlnm.Print_Area" localSheetId="10">'R7 - RAV'!$A$1:$K$38</definedName>
    <definedName name="_xlnm.Print_Area" localSheetId="11">'R8 - Tax'!$A$1:$J$44</definedName>
    <definedName name="_xlnm.Print_Area" localSheetId="12">'R9 - Corporate Governance'!$A$1:$I$18</definedName>
    <definedName name="_xlnm.Print_Area" localSheetId="0">'RFPR cover'!$A$2:$I$82</definedName>
    <definedName name="Profiles" hidden="1">#REF!</definedName>
    <definedName name="Projections" hidden="1">#REF!</definedName>
    <definedName name="PRtDir">'[4]R5 Input Page'!$F$49:$N$49</definedName>
    <definedName name="PT">'[4]R8 Pass-Through Items'!$G$15:$N$15</definedName>
    <definedName name="PTPA">'[4]R5 Input Page'!$G$55:$N$55</definedName>
    <definedName name="PTPE">'[4]R4 Licence Condition Values'!$G$12:$N$12</definedName>
    <definedName name="PTRA">'[4]R5 Input Page'!$G$125:$N$125</definedName>
    <definedName name="PU">'[4]R4 Licence Condition Values'!$G$6:$N$6</definedName>
    <definedName name="PUC">'[4]R5 Input Page'!$G$69:$N$69</definedName>
    <definedName name="PVF">'[4]R5 Input Page'!$F$39:$N$39</definedName>
    <definedName name="qs" hidden="1">{#N/A,#N/A,FALSE,"PRJCTED MNTHLY QTY's"}</definedName>
    <definedName name="RB">'[4]R8 Pass-Through Items'!$G$36:$N$36</definedName>
    <definedName name="RBA">'[4]R5 Input Page'!$G$54:$N$54</definedName>
    <definedName name="RBE">'[4]R4 Licence Condition Values'!$G$11:$N$11</definedName>
    <definedName name="RD">'[4]R5 Input Page'!$F$47:$N$47</definedName>
    <definedName name="real_to_nominal_CF">Data!$F$27:$L$27</definedName>
    <definedName name="Reporting_Year">'RFPR cover'!$C$9</definedName>
    <definedName name="Results" hidden="1">[9]UK99!$A$1:$A$1</definedName>
    <definedName name="RF">'[4]R8 Pass-Through Items'!$G$77:$N$77</definedName>
    <definedName name="RFA">'[4]R5 Input Page'!$G$59:$N$59</definedName>
    <definedName name="RFE">'[4]R4 Licence Condition Values'!$G$15:$N$15</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'[4]R4 Licence Condition Values'!$G$42:$N$42</definedName>
    <definedName name="RLGt">'[4]R4 Licence Condition Values'!$G$43:$N$43</definedName>
    <definedName name="RoRE___including_financing_and_tax">'R1 - RoRE'!$D$88:$H$88</definedName>
    <definedName name="RoRE___Operational_performance">'R1 - RoRE'!$D$83:$H$83</definedName>
    <definedName name="RPI">'[4]R5 Input Page'!$D$8:$N$8</definedName>
    <definedName name="RPIA">'[4]R5 Input Page'!$D$9:$N$9</definedName>
    <definedName name="RPIF">'[4]R5 Input Page'!$G$32:$N$32</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'[4]R5 Input Page'!$G$66:$N$66</definedName>
    <definedName name="SEC">'[4]R8 Pass-Through Items'!$G$87:$N$87</definedName>
    <definedName name="SECA">'[4]R5 Input Page'!$G$60:$N$60</definedName>
    <definedName name="SECE">'[4]R4 Licence Condition Values'!$G$16:$N$16</definedName>
    <definedName name="Sector">'RFPR cover'!$C$8</definedName>
    <definedName name="SectorCov">'RFPR cover'!$C$8</definedName>
    <definedName name="sfad" hidden="1">{#N/A,#N/A,FALSE,"TMCOMP96";#N/A,#N/A,FALSE,"MAT96";#N/A,#N/A,FALSE,"FANDA96";#N/A,#N/A,FALSE,"INTRAN96";#N/A,#N/A,FALSE,"NAA9697";#N/A,#N/A,FALSE,"ECWEBB";#N/A,#N/A,FALSE,"MFT96";#N/A,#N/A,FALSE,"CTrecon"}</definedName>
    <definedName name="Sharing_Factor">Data!$C$7</definedName>
    <definedName name="SIAS">'[4]R5 Input Page'!$G$67:$N$67</definedName>
    <definedName name="SIIM">'[4]R5 Input Page'!$G$68:$N$68</definedName>
    <definedName name="SIPIRt">'[4]R4 Licence Condition Values'!$G$26:$N$26</definedName>
    <definedName name="SIRIRt">'[4]R4 Licence Condition Values'!$G$20:$N$20</definedName>
    <definedName name="SLC29_4">'[4]R5 Input Page'!$G$143:$N$143</definedName>
    <definedName name="SLC29_6">'[4]R5 Input Page'!$G$142:$N$142</definedName>
    <definedName name="SMC">'[4]R8 Pass-Through Items'!$G$56:$N$56</definedName>
    <definedName name="SMCA">'[4]R5 Input Page'!$G$56:$N$56</definedName>
    <definedName name="SMCE">'[4]R4 Licence Condition Values'!$G$13:$N$13</definedName>
    <definedName name="SMIA">'[4]R5 Input Page'!$G$57:$N$57</definedName>
    <definedName name="SMIE">'[4]R4 Licence Condition Values'!$G$14:$N$14</definedName>
    <definedName name="SMIT">'[4]R8 Pass-Through Items'!$G$67:$N$67</definedName>
    <definedName name="SMITR">'[4]R5 Input Page'!$G$58:$N$58</definedName>
    <definedName name="Submitted_Date">'RFPR cover'!$C$11</definedName>
    <definedName name="SWPD">'[4]R5 Input Page'!$G$99:$N$99</definedName>
    <definedName name="SWPM">'[4]R5 Input Page'!$G$98:$N$98</definedName>
    <definedName name="Swvu.CapersView." hidden="1">[3]Sheet1!#REF!</definedName>
    <definedName name="Swvu.Japan_Capers_Ed_Pub." hidden="1">#REF!</definedName>
    <definedName name="Swvu.KJP_CC." hidden="1">#REF!</definedName>
    <definedName name="TAUt">'[4]R4 Licence Condition Values'!$G$36:$N$36</definedName>
    <definedName name="Tax_liability_per_latest_submitted_CT600____Reporting_Year">'R8 - Tax'!$E$11:$I$11</definedName>
    <definedName name="Tax_performance___at_notional_gearing">'R1 - RoRE'!$D$86:$H$86</definedName>
    <definedName name="Tax_performance___impact_of_actual_gearing">'R1 - RoRE'!$D$87:$H$87</definedName>
    <definedName name="TB">'[4]R8 Pass-Through Items'!$G$46:$N$46</definedName>
    <definedName name="TBUt">'[4]R4 Licence Condition Values'!$G$39:$N$39</definedName>
    <definedName name="TCAIt">'[4]R4 Licence Condition Values'!$G$51:$N$51</definedName>
    <definedName name="TCAP">'[4]R5 Input Page'!$G$113:$N$113</definedName>
    <definedName name="TCAREt">'[4]R4 Licence Condition Values'!$G$50:$N$50</definedName>
    <definedName name="TCAT">'[4]R5 Input Page'!$G$114:$N$114</definedName>
    <definedName name="TCBIt">'[4]R4 Licence Condition Values'!$G$53:$N$53</definedName>
    <definedName name="TCBP">'[4]R5 Input Page'!$G$115:$N$115</definedName>
    <definedName name="TCBREt">'[4]R4 Licence Condition Values'!$G$52:$N$52</definedName>
    <definedName name="TCBTt">'[4]R5 Input Page'!$G$116:$N$116</definedName>
    <definedName name="TCGSR">'[4]R4 Licence Condition Values'!$F$59</definedName>
    <definedName name="TCM">'[4]R5 Input Page'!$G$78:$N$78</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ex_outperformance">'R1 - RoRE'!$D$66:$H$66</definedName>
    <definedName name="TQAIt">'[4]R4 Licence Condition Values'!$G$47:$N$47</definedName>
    <definedName name="TQAP">'[4]R5 Input Page'!$G$109:$N$109</definedName>
    <definedName name="TQAREt">'[4]R4 Licence Condition Values'!$G$46:$N$46</definedName>
    <definedName name="TQAT">'[4]R5 Input Page'!$G$110:$N$110</definedName>
    <definedName name="TQBIt">'[4]R4 Licence Condition Values'!$G$49:$N$49</definedName>
    <definedName name="TQBP">'[4]R5 Input Page'!$G$111:$N$111</definedName>
    <definedName name="TQBREt">'[4]R4 Licence Condition Values'!$G$48:$N$48</definedName>
    <definedName name="TQBT">'[4]R5 Input Page'!$G$112:$N$112</definedName>
    <definedName name="trggh" hidden="1">{#N/A,#N/A,FALSE,"TMCOMP96";#N/A,#N/A,FALSE,"MAT96";#N/A,#N/A,FALSE,"FANDA96";#N/A,#N/A,FALSE,"INTRAN96";#N/A,#N/A,FALSE,"NAA9697";#N/A,#N/A,FALSE,"ECWEBB";#N/A,#N/A,FALSE,"MFT96";#N/A,#N/A,FALSE,"CTrecon"}</definedName>
    <definedName name="TRIISt">'[4]R4 Licence Condition Values'!$G$41:$N$41</definedName>
    <definedName name="TRIMt">'[4]R4 Licence Condition Values'!$G$38:$N$38</definedName>
    <definedName name="u" hidden="1">{#VALUE!,#N/A,FALSE,0}</definedName>
    <definedName name="UAG" hidden="1">{#N/A,#N/A,FALSE,"DI 2 YEAR MASTER SCHEDULE"}</definedName>
    <definedName name="UCPIR">'[4]R4 Licence Condition Values'!$G$27:$N$27</definedName>
    <definedName name="UNC">'[4]R5 Input Page'!$G$61:$N$61</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{"Japan_Capers_Ed_Pub",#N/A,FALSE,"DI 2 YEAR MASTER SCHEDULE"}</definedName>
    <definedName name="Version__Number">'RFPR cover'!$C$10</definedName>
    <definedName name="wrn.CapersPlotter." hidden="1">{#N/A,#N/A,FALSE,"DI 2 YEAR MASTER SCHEDULE"}</definedName>
    <definedName name="wrn.Edutainment._.Priority._.List." hidden="1">{#N/A,#N/A,FALSE,"DI 2 YEAR MASTER SCHEDULE"}</definedName>
    <definedName name="wrn.Japan_Capers_Ed._.Pub." hidden="1">{"Japan_Capers_Ed_Pub",#N/A,FALSE,"DI 2 YEAR MASTER SCHEDULE"}</definedName>
    <definedName name="wrn.Mat." hidden="1">{"staff",#N/A,FALSE,"Current Month"}</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TMCOMP." hidden="1">{#N/A,#N/A,FALSE,"TMCOMP96";#N/A,#N/A,FALSE,"MAT96";#N/A,#N/A,FALSE,"FANDA96";#N/A,#N/A,FALSE,"INTRAN96";#N/A,#N/A,FALSE,"NAA9697";#N/A,#N/A,FALSE,"ECWEBB";#N/A,#N/A,FALSE,"MFT96";#N/A,#N/A,FALSE,"CTrecon"}</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{#N/A,#N/A,FALSE,"DI 2 YEAR MASTER SCHEDULE"}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ear">'[10]Pension Pack cover'!$B$80:$B$99</definedName>
    <definedName name="YEFactor">Data!$F$29:$L$29</definedName>
    <definedName name="YEFactor_change">Data!$F$28:$L$28</definedName>
    <definedName name="z" hidden="1">{#N/A,#N/A,FALSE,"DI 2 YEAR MASTER SCHEDULE"}</definedName>
    <definedName name="Z_9A428CE1_B4D9_11D0_A8AA_0000C071AEE7_.wvu.Cols" hidden="1">[3]Sheet1!$A$1:$Q$65536,[3]Sheet1!$Y$1:$Z$65536</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3" i="5" l="1"/>
  <c r="J63" i="5"/>
  <c r="I64" i="5"/>
  <c r="J64" i="5"/>
  <c r="I65" i="5"/>
  <c r="J65" i="5"/>
  <c r="I66" i="5"/>
  <c r="J66" i="5"/>
  <c r="J62" i="5"/>
  <c r="I62" i="5"/>
  <c r="I52" i="5"/>
  <c r="J52" i="5"/>
  <c r="I38" i="5"/>
  <c r="J38" i="5"/>
  <c r="I39" i="5"/>
  <c r="J39" i="5"/>
  <c r="J37" i="5"/>
  <c r="I37" i="5"/>
  <c r="J19" i="5"/>
  <c r="I19" i="5"/>
  <c r="J18" i="5"/>
  <c r="I18" i="5"/>
  <c r="J17" i="5"/>
  <c r="I17" i="5"/>
  <c r="J16" i="5"/>
  <c r="I16" i="5"/>
  <c r="J15" i="5"/>
  <c r="I15" i="5"/>
  <c r="J14" i="5"/>
  <c r="I14" i="5"/>
  <c r="J12" i="5"/>
  <c r="I12" i="5"/>
  <c r="M338" i="28" l="1"/>
  <c r="N338" i="28" s="1"/>
  <c r="O338" i="28" s="1"/>
  <c r="P338" i="28" s="1"/>
  <c r="Q338" i="28" s="1"/>
  <c r="R338" i="28" s="1"/>
  <c r="S338" i="28" s="1"/>
  <c r="D328" i="28" l="1"/>
  <c r="E328" i="28"/>
  <c r="F328" i="28"/>
  <c r="G328" i="28"/>
  <c r="C328" i="28"/>
  <c r="M303" i="28" l="1"/>
  <c r="N303" i="28" s="1"/>
  <c r="O303" i="28" s="1"/>
  <c r="P303" i="28" s="1"/>
  <c r="Q303" i="28" s="1"/>
  <c r="R303" i="28" s="1"/>
  <c r="S303" i="28" s="1"/>
  <c r="C303" i="28" l="1"/>
  <c r="D303" i="28" l="1"/>
  <c r="E303" i="28" s="1"/>
  <c r="F303" i="28" s="1"/>
  <c r="G303" i="28" s="1"/>
  <c r="H303" i="28" s="1"/>
  <c r="I303" i="28" s="1"/>
  <c r="A3" i="29"/>
  <c r="D23" i="11"/>
  <c r="E80" i="1" l="1"/>
  <c r="F83" i="4"/>
  <c r="G83" i="4"/>
  <c r="H83" i="4"/>
  <c r="I83" i="4"/>
  <c r="E83" i="4"/>
  <c r="E129" i="2" l="1"/>
  <c r="F129" i="2"/>
  <c r="G129" i="2"/>
  <c r="H129" i="2"/>
  <c r="D150" i="2"/>
  <c r="E68" i="4" l="1"/>
  <c r="F68" i="4"/>
  <c r="D129" i="2" l="1"/>
  <c r="E150" i="2"/>
  <c r="F150" i="2"/>
  <c r="G150" i="2"/>
  <c r="H150" i="2"/>
  <c r="J24" i="2" l="1"/>
  <c r="J25" i="2"/>
  <c r="J26" i="2"/>
  <c r="J27" i="2"/>
  <c r="J28" i="2"/>
  <c r="E194" i="2" l="1"/>
  <c r="F194" i="2"/>
  <c r="G194" i="2"/>
  <c r="H194" i="2"/>
  <c r="D194" i="2"/>
  <c r="E6" i="29" l="1"/>
  <c r="E5" i="29" s="1"/>
  <c r="E7" i="29"/>
  <c r="G26" i="10"/>
  <c r="J26" i="10"/>
  <c r="I26" i="10"/>
  <c r="H26" i="10"/>
  <c r="F26" i="10"/>
  <c r="F192" i="28"/>
  <c r="F191" i="28"/>
  <c r="F80" i="28"/>
  <c r="H64" i="2"/>
  <c r="G64" i="2"/>
  <c r="F64" i="2"/>
  <c r="E64" i="2"/>
  <c r="D64" i="2"/>
  <c r="J63" i="2"/>
  <c r="J62" i="2"/>
  <c r="H35" i="2"/>
  <c r="G35" i="2"/>
  <c r="F35" i="2"/>
  <c r="E35" i="2"/>
  <c r="D35" i="2"/>
  <c r="J34" i="2"/>
  <c r="J33" i="2"/>
  <c r="D55" i="5"/>
  <c r="G101" i="4"/>
  <c r="H101" i="4"/>
  <c r="I101" i="4"/>
  <c r="F65" i="11"/>
  <c r="G65" i="11"/>
  <c r="H65" i="11"/>
  <c r="F64" i="11"/>
  <c r="G64" i="11"/>
  <c r="H64" i="11"/>
  <c r="D7" i="2"/>
  <c r="J64" i="2" l="1"/>
  <c r="J35" i="2"/>
  <c r="F57" i="11" l="1"/>
  <c r="G57" i="11"/>
  <c r="H57" i="11"/>
  <c r="F26" i="28" l="1"/>
  <c r="E28" i="28"/>
  <c r="G55" i="5"/>
  <c r="H55" i="5"/>
  <c r="D48" i="5"/>
  <c r="E41" i="5"/>
  <c r="F41" i="5"/>
  <c r="G41" i="5"/>
  <c r="H41" i="5"/>
  <c r="D41" i="5"/>
  <c r="I41" i="5" l="1"/>
  <c r="J41" i="5"/>
  <c r="F28" i="28"/>
  <c r="E25" i="28"/>
  <c r="B76" i="1" l="1"/>
  <c r="B49" i="1" s="1"/>
  <c r="B22" i="1" l="1"/>
  <c r="A3" i="4"/>
  <c r="D78" i="1" l="1"/>
  <c r="E78" i="1"/>
  <c r="F78" i="1"/>
  <c r="G78" i="1"/>
  <c r="H78" i="1"/>
  <c r="D79" i="1"/>
  <c r="E79" i="1"/>
  <c r="F79" i="1"/>
  <c r="G79" i="1"/>
  <c r="H79" i="1"/>
  <c r="D80" i="1"/>
  <c r="F80" i="1"/>
  <c r="G80" i="1"/>
  <c r="H80" i="1"/>
  <c r="D81" i="1"/>
  <c r="E81" i="1"/>
  <c r="F81" i="1"/>
  <c r="G81" i="1"/>
  <c r="H81" i="1"/>
  <c r="E77" i="1"/>
  <c r="F77" i="1"/>
  <c r="G77" i="1"/>
  <c r="H77" i="1"/>
  <c r="D77" i="1"/>
  <c r="E75" i="1"/>
  <c r="F75" i="1"/>
  <c r="G75" i="1"/>
  <c r="H75" i="1"/>
  <c r="B75" i="1"/>
  <c r="B74" i="1"/>
  <c r="E67" i="1" l="1"/>
  <c r="F67" i="1"/>
  <c r="G67" i="1"/>
  <c r="H67" i="1"/>
  <c r="D67" i="1"/>
  <c r="D69" i="1" l="1"/>
  <c r="E69" i="1"/>
  <c r="F69" i="1"/>
  <c r="G69" i="1"/>
  <c r="H69" i="1"/>
  <c r="D70" i="1"/>
  <c r="E70" i="1"/>
  <c r="F70" i="1"/>
  <c r="G70" i="1"/>
  <c r="H70" i="1"/>
  <c r="D71" i="1"/>
  <c r="E71" i="1"/>
  <c r="F71" i="1"/>
  <c r="G71" i="1"/>
  <c r="H71" i="1"/>
  <c r="D72" i="1"/>
  <c r="E72" i="1"/>
  <c r="F72" i="1"/>
  <c r="G72" i="1"/>
  <c r="H72" i="1"/>
  <c r="D73" i="1"/>
  <c r="E73" i="1"/>
  <c r="F73" i="1"/>
  <c r="G73" i="1"/>
  <c r="H73" i="1"/>
  <c r="E68" i="1"/>
  <c r="F68" i="1"/>
  <c r="G68" i="1"/>
  <c r="H68" i="1"/>
  <c r="D68" i="1"/>
  <c r="K73" i="1" l="1"/>
  <c r="E30" i="2"/>
  <c r="F30" i="2"/>
  <c r="G30" i="2"/>
  <c r="H30" i="2"/>
  <c r="G23" i="10" l="1"/>
  <c r="H23" i="10"/>
  <c r="I23" i="10"/>
  <c r="J23" i="10"/>
  <c r="F23" i="10"/>
  <c r="G20" i="10"/>
  <c r="H20" i="10"/>
  <c r="I20" i="10"/>
  <c r="J20" i="10"/>
  <c r="F20" i="10"/>
  <c r="E159" i="2" l="1"/>
  <c r="E160" i="2" s="1"/>
  <c r="F159" i="2"/>
  <c r="F160" i="2" s="1"/>
  <c r="G159" i="2"/>
  <c r="G160" i="2" s="1"/>
  <c r="H159" i="2"/>
  <c r="H160" i="2" s="1"/>
  <c r="F74" i="4"/>
  <c r="G74" i="4"/>
  <c r="E74" i="4"/>
  <c r="D159" i="2"/>
  <c r="D160" i="2" s="1"/>
  <c r="I74" i="4" l="1"/>
  <c r="H74" i="4"/>
  <c r="F95" i="4" l="1"/>
  <c r="G95" i="4"/>
  <c r="H95" i="4"/>
  <c r="I95" i="4"/>
  <c r="F88" i="4"/>
  <c r="F90" i="4" s="1"/>
  <c r="G88" i="4"/>
  <c r="G90" i="4" s="1"/>
  <c r="H88" i="4"/>
  <c r="H90" i="4" s="1"/>
  <c r="I88" i="4"/>
  <c r="I90" i="4" s="1"/>
  <c r="C43" i="19" l="1"/>
  <c r="C42" i="19"/>
  <c r="C40" i="19"/>
  <c r="C39" i="19"/>
  <c r="C37" i="19"/>
  <c r="C36" i="19"/>
  <c r="C34" i="19"/>
  <c r="C33" i="19"/>
  <c r="C13" i="4" l="1"/>
  <c r="C14" i="4"/>
  <c r="C15" i="4"/>
  <c r="C16" i="4"/>
  <c r="C17" i="4"/>
  <c r="C18" i="4"/>
  <c r="D30" i="2" l="1"/>
  <c r="H88" i="2" l="1"/>
  <c r="G88" i="2"/>
  <c r="F88" i="2"/>
  <c r="E88" i="2"/>
  <c r="D88" i="2"/>
  <c r="J87" i="2"/>
  <c r="J86" i="2"/>
  <c r="H59" i="2"/>
  <c r="G59" i="2"/>
  <c r="F59" i="2"/>
  <c r="E59" i="2"/>
  <c r="D59" i="2"/>
  <c r="J58" i="2"/>
  <c r="J57" i="2"/>
  <c r="J88" i="2" l="1"/>
  <c r="J59" i="2"/>
  <c r="J30" i="2"/>
  <c r="J29" i="2" l="1"/>
  <c r="J23" i="2"/>
  <c r="B3" i="1" l="1"/>
  <c r="G68" i="4" l="1"/>
  <c r="H68" i="4"/>
  <c r="I68" i="4"/>
  <c r="G67" i="4" l="1"/>
  <c r="H67" i="4"/>
  <c r="I67" i="4"/>
  <c r="B3" i="17" l="1"/>
  <c r="B3" i="27" l="1"/>
  <c r="C8" i="28"/>
  <c r="H36" i="10" s="1"/>
  <c r="E17" i="2"/>
  <c r="E38" i="2" s="1"/>
  <c r="E51" i="2"/>
  <c r="E67" i="2" s="1"/>
  <c r="E80" i="2"/>
  <c r="D6" i="5"/>
  <c r="C8" i="13"/>
  <c r="F17" i="2"/>
  <c r="F38" i="2" s="1"/>
  <c r="F51" i="2"/>
  <c r="F67" i="2" s="1"/>
  <c r="F80" i="2"/>
  <c r="G17" i="2"/>
  <c r="G38" i="2" s="1"/>
  <c r="G51" i="2"/>
  <c r="G67" i="2" s="1"/>
  <c r="G80" i="2"/>
  <c r="H17" i="2"/>
  <c r="H38" i="2" s="1"/>
  <c r="H51" i="2"/>
  <c r="H67" i="2" s="1"/>
  <c r="H80" i="2"/>
  <c r="D17" i="2"/>
  <c r="D51" i="2"/>
  <c r="D67" i="2" s="1"/>
  <c r="D80" i="2"/>
  <c r="C47" i="28"/>
  <c r="D47" i="28" s="1"/>
  <c r="E47" i="28" s="1"/>
  <c r="F47" i="28" s="1"/>
  <c r="O80" i="28" s="1"/>
  <c r="P55" i="28"/>
  <c r="H67" i="5"/>
  <c r="G67" i="5"/>
  <c r="F67" i="5"/>
  <c r="E67" i="5"/>
  <c r="D67" i="5"/>
  <c r="H20" i="5"/>
  <c r="G20" i="5"/>
  <c r="F20" i="5"/>
  <c r="E20" i="5"/>
  <c r="D20" i="5"/>
  <c r="C36" i="28"/>
  <c r="D36" i="28" s="1"/>
  <c r="E36" i="28" s="1"/>
  <c r="F36" i="28" s="1"/>
  <c r="H80" i="28" s="1"/>
  <c r="F57" i="28"/>
  <c r="F58" i="28"/>
  <c r="F59" i="28"/>
  <c r="F60" i="28"/>
  <c r="F61" i="28"/>
  <c r="F62" i="28"/>
  <c r="F63" i="28"/>
  <c r="F64" i="28"/>
  <c r="F65" i="28"/>
  <c r="F66" i="28"/>
  <c r="F67" i="28"/>
  <c r="F68" i="28"/>
  <c r="F69" i="28"/>
  <c r="F70" i="28"/>
  <c r="F71" i="28"/>
  <c r="F72" i="28"/>
  <c r="F73" i="28"/>
  <c r="F74" i="28"/>
  <c r="F75" i="28"/>
  <c r="F76" i="28"/>
  <c r="F77" i="28"/>
  <c r="F78" i="28"/>
  <c r="F79" i="28"/>
  <c r="F81" i="28"/>
  <c r="F82" i="28"/>
  <c r="F83" i="28"/>
  <c r="F84" i="28"/>
  <c r="F56" i="28"/>
  <c r="K18" i="28"/>
  <c r="K17" i="28"/>
  <c r="L17" i="28" s="1"/>
  <c r="M17" i="28" s="1"/>
  <c r="N17" i="28" s="1"/>
  <c r="K20" i="28"/>
  <c r="L20" i="28" s="1"/>
  <c r="M20" i="28" s="1"/>
  <c r="N20" i="28" s="1"/>
  <c r="H110" i="2"/>
  <c r="G110" i="2"/>
  <c r="F110" i="2"/>
  <c r="E110" i="2"/>
  <c r="D110" i="2"/>
  <c r="H7" i="1"/>
  <c r="G7" i="1"/>
  <c r="F7" i="1"/>
  <c r="E7" i="1"/>
  <c r="D7" i="1"/>
  <c r="H7" i="19"/>
  <c r="G7" i="19"/>
  <c r="F7" i="19"/>
  <c r="E7" i="19"/>
  <c r="D7" i="19"/>
  <c r="H7" i="11"/>
  <c r="G7" i="11"/>
  <c r="F7" i="11"/>
  <c r="E7" i="11"/>
  <c r="D7" i="11"/>
  <c r="I7" i="29"/>
  <c r="H7" i="29"/>
  <c r="G7" i="29"/>
  <c r="F7" i="29"/>
  <c r="J7" i="10"/>
  <c r="I7" i="10"/>
  <c r="H7" i="10"/>
  <c r="G7" i="10"/>
  <c r="F7" i="10"/>
  <c r="H7" i="27"/>
  <c r="G7" i="27"/>
  <c r="F7" i="27"/>
  <c r="E7" i="27"/>
  <c r="D7" i="27"/>
  <c r="H7" i="17"/>
  <c r="G7" i="17"/>
  <c r="F7" i="17"/>
  <c r="E7" i="17"/>
  <c r="D7" i="17"/>
  <c r="H7" i="5"/>
  <c r="G7" i="5"/>
  <c r="F7" i="5"/>
  <c r="E7" i="5"/>
  <c r="D7" i="5"/>
  <c r="H7" i="2"/>
  <c r="G7" i="2"/>
  <c r="F7" i="2"/>
  <c r="E7" i="2"/>
  <c r="I7" i="4"/>
  <c r="H7" i="4"/>
  <c r="F7" i="4"/>
  <c r="E7" i="4"/>
  <c r="E6" i="4"/>
  <c r="D6" i="1"/>
  <c r="G7" i="4"/>
  <c r="F61" i="11"/>
  <c r="G61" i="11"/>
  <c r="H61" i="11"/>
  <c r="A3" i="21"/>
  <c r="A3" i="1"/>
  <c r="A3" i="14"/>
  <c r="A3" i="2"/>
  <c r="A3" i="5"/>
  <c r="A3" i="17"/>
  <c r="A3" i="27"/>
  <c r="A3" i="10"/>
  <c r="A3" i="11"/>
  <c r="A3" i="19"/>
  <c r="A3" i="28"/>
  <c r="D47" i="5"/>
  <c r="D40" i="5"/>
  <c r="D90" i="28"/>
  <c r="E90" i="28" s="1"/>
  <c r="F90" i="28" s="1"/>
  <c r="G90" i="28" s="1"/>
  <c r="H90" i="28" s="1"/>
  <c r="I90" i="28" s="1"/>
  <c r="I55" i="28"/>
  <c r="A2" i="14"/>
  <c r="A2" i="1"/>
  <c r="A2" i="4"/>
  <c r="A2" i="2"/>
  <c r="A2" i="5"/>
  <c r="A2" i="17"/>
  <c r="A2" i="27"/>
  <c r="A2" i="10"/>
  <c r="A2" i="29"/>
  <c r="A2" i="11"/>
  <c r="A2" i="19"/>
  <c r="A2" i="21"/>
  <c r="A2" i="28"/>
  <c r="F71" i="4"/>
  <c r="G71" i="4"/>
  <c r="H71" i="4"/>
  <c r="I71" i="4"/>
  <c r="E71" i="4"/>
  <c r="F185" i="28"/>
  <c r="F184" i="28"/>
  <c r="A3" i="13"/>
  <c r="D60" i="19"/>
  <c r="D62" i="19" s="1"/>
  <c r="E60" i="19"/>
  <c r="E62" i="19" s="1"/>
  <c r="F60" i="19"/>
  <c r="F62" i="19" s="1"/>
  <c r="G60" i="19"/>
  <c r="G62" i="19" s="1"/>
  <c r="H60" i="19"/>
  <c r="H62" i="19" s="1"/>
  <c r="D67" i="19"/>
  <c r="E67" i="19"/>
  <c r="F67" i="19"/>
  <c r="G67" i="19"/>
  <c r="H67" i="19"/>
  <c r="F46" i="11"/>
  <c r="G46" i="11"/>
  <c r="H46" i="11"/>
  <c r="F34" i="11"/>
  <c r="G34" i="11"/>
  <c r="H34" i="11"/>
  <c r="F42" i="11"/>
  <c r="G42" i="11"/>
  <c r="H42" i="11"/>
  <c r="E40" i="5"/>
  <c r="F40" i="5"/>
  <c r="G40" i="5"/>
  <c r="H40" i="5"/>
  <c r="D122" i="2"/>
  <c r="D131" i="2" s="1"/>
  <c r="E122" i="2"/>
  <c r="E131" i="2" s="1"/>
  <c r="F122" i="2"/>
  <c r="F131" i="2" s="1"/>
  <c r="G122" i="2"/>
  <c r="G131" i="2" s="1"/>
  <c r="H122" i="2"/>
  <c r="H131" i="2" s="1"/>
  <c r="H78" i="2"/>
  <c r="G78" i="2"/>
  <c r="F78" i="2"/>
  <c r="E78" i="2"/>
  <c r="D78" i="2"/>
  <c r="J77" i="2"/>
  <c r="J76" i="2"/>
  <c r="B47" i="1"/>
  <c r="D14" i="28"/>
  <c r="E14" i="28"/>
  <c r="F14" i="28"/>
  <c r="G14" i="28"/>
  <c r="H14" i="28"/>
  <c r="I14" i="28"/>
  <c r="J14" i="28"/>
  <c r="K14" i="28"/>
  <c r="L14" i="28"/>
  <c r="M14" i="28"/>
  <c r="N14" i="28"/>
  <c r="C14" i="28"/>
  <c r="C7" i="28"/>
  <c r="D52" i="19"/>
  <c r="E52" i="19" s="1"/>
  <c r="F52" i="19" s="1"/>
  <c r="F51" i="19" s="1"/>
  <c r="D109" i="2"/>
  <c r="D108" i="2" s="1"/>
  <c r="F190" i="28"/>
  <c r="F189" i="28"/>
  <c r="F188" i="28"/>
  <c r="E217" i="28"/>
  <c r="F187" i="28" s="1"/>
  <c r="B217" i="28"/>
  <c r="F186" i="28" s="1"/>
  <c r="G129" i="28"/>
  <c r="B30" i="1"/>
  <c r="J48" i="17"/>
  <c r="D40" i="19"/>
  <c r="D39" i="19"/>
  <c r="H23" i="19"/>
  <c r="G23" i="19"/>
  <c r="F23" i="19"/>
  <c r="E23" i="19"/>
  <c r="D23" i="19"/>
  <c r="H16" i="11"/>
  <c r="G16" i="11"/>
  <c r="F16" i="11"/>
  <c r="E16" i="11"/>
  <c r="D16" i="11"/>
  <c r="I20" i="29"/>
  <c r="H20" i="29"/>
  <c r="G20" i="29"/>
  <c r="F20" i="29"/>
  <c r="F17" i="10"/>
  <c r="E21" i="27"/>
  <c r="H21" i="27"/>
  <c r="H40" i="27" s="1"/>
  <c r="G21" i="27"/>
  <c r="G40" i="27" s="1"/>
  <c r="F21" i="27"/>
  <c r="F40" i="27" s="1"/>
  <c r="H9" i="27"/>
  <c r="G9" i="27"/>
  <c r="H63" i="27"/>
  <c r="G63" i="27"/>
  <c r="F63" i="27"/>
  <c r="E63" i="27"/>
  <c r="D63" i="27"/>
  <c r="E9" i="27"/>
  <c r="J54" i="17"/>
  <c r="J53" i="17"/>
  <c r="J52" i="17"/>
  <c r="J51" i="17"/>
  <c r="J50" i="17"/>
  <c r="J49" i="17"/>
  <c r="F56" i="17"/>
  <c r="I6" i="17"/>
  <c r="I5" i="17" s="1"/>
  <c r="I6" i="5"/>
  <c r="I5" i="5" s="1"/>
  <c r="I6" i="2"/>
  <c r="I5" i="2" s="1"/>
  <c r="I55" i="4"/>
  <c r="H55" i="4"/>
  <c r="G55" i="4"/>
  <c r="I36" i="4"/>
  <c r="H36" i="4"/>
  <c r="G36" i="4"/>
  <c r="B59" i="1"/>
  <c r="B56" i="1"/>
  <c r="B55" i="1"/>
  <c r="B40" i="1"/>
  <c r="B39" i="1"/>
  <c r="B32" i="1"/>
  <c r="B31" i="1"/>
  <c r="B29" i="1"/>
  <c r="B28" i="1"/>
  <c r="B13" i="1"/>
  <c r="B12" i="1"/>
  <c r="J6" i="1"/>
  <c r="G127" i="28"/>
  <c r="G126" i="28"/>
  <c r="G125" i="28"/>
  <c r="G124" i="28"/>
  <c r="F9" i="27"/>
  <c r="H56" i="17"/>
  <c r="G56" i="17"/>
  <c r="J47" i="17"/>
  <c r="D21" i="27"/>
  <c r="D6" i="17"/>
  <c r="D5" i="17" s="1"/>
  <c r="D6" i="19"/>
  <c r="D5" i="19" s="1"/>
  <c r="D6" i="2"/>
  <c r="D6" i="11"/>
  <c r="D5" i="11" s="1"/>
  <c r="D6" i="27"/>
  <c r="D5" i="27" s="1"/>
  <c r="F6" i="10"/>
  <c r="E6" i="27"/>
  <c r="F6" i="27" s="1"/>
  <c r="B21" i="1"/>
  <c r="G20" i="4"/>
  <c r="H20" i="4"/>
  <c r="I20" i="4"/>
  <c r="E40" i="27" l="1"/>
  <c r="E59" i="27" s="1"/>
  <c r="I67" i="5"/>
  <c r="J67" i="5"/>
  <c r="J20" i="5"/>
  <c r="I20" i="5"/>
  <c r="F29" i="28"/>
  <c r="G29" i="28"/>
  <c r="H29" i="28"/>
  <c r="J29" i="28"/>
  <c r="I29" i="28"/>
  <c r="D38" i="2"/>
  <c r="F59" i="27"/>
  <c r="G59" i="27"/>
  <c r="H59" i="27"/>
  <c r="J40" i="5"/>
  <c r="I40" i="5"/>
  <c r="L18" i="28"/>
  <c r="K29" i="28"/>
  <c r="F24" i="10"/>
  <c r="B45" i="2"/>
  <c r="B11" i="2"/>
  <c r="E6" i="19"/>
  <c r="E5" i="19" s="1"/>
  <c r="D51" i="19"/>
  <c r="F5" i="10"/>
  <c r="F6" i="19"/>
  <c r="F5" i="19" s="1"/>
  <c r="D5" i="1"/>
  <c r="E27" i="28"/>
  <c r="K27" i="28"/>
  <c r="L27" i="28"/>
  <c r="F27" i="28"/>
  <c r="G27" i="28"/>
  <c r="H27" i="28"/>
  <c r="I27" i="28"/>
  <c r="J27" i="28"/>
  <c r="D40" i="27"/>
  <c r="D59" i="27" s="1"/>
  <c r="F42" i="27"/>
  <c r="G42" i="27"/>
  <c r="D5" i="2"/>
  <c r="E192" i="28"/>
  <c r="J55" i="28"/>
  <c r="J74" i="28" s="1"/>
  <c r="I80" i="28"/>
  <c r="Q55" i="28"/>
  <c r="Q69" i="28" s="1"/>
  <c r="P80" i="28"/>
  <c r="C9" i="28"/>
  <c r="H77" i="4"/>
  <c r="H78" i="4" s="1"/>
  <c r="I80" i="4"/>
  <c r="I92" i="4" s="1"/>
  <c r="I77" i="4"/>
  <c r="I78" i="4" s="1"/>
  <c r="G80" i="4"/>
  <c r="G92" i="4" s="1"/>
  <c r="G77" i="4"/>
  <c r="G78" i="4" s="1"/>
  <c r="F77" i="4"/>
  <c r="F78" i="4" s="1"/>
  <c r="E5" i="27"/>
  <c r="F30" i="10"/>
  <c r="E29" i="28"/>
  <c r="E6" i="5"/>
  <c r="D5" i="5"/>
  <c r="D90" i="2"/>
  <c r="D91" i="2"/>
  <c r="G90" i="2"/>
  <c r="G91" i="2"/>
  <c r="E91" i="2"/>
  <c r="E90" i="2"/>
  <c r="H91" i="2"/>
  <c r="H90" i="2"/>
  <c r="F90" i="2"/>
  <c r="F91" i="2"/>
  <c r="D66" i="2"/>
  <c r="G66" i="2"/>
  <c r="E66" i="2"/>
  <c r="H66" i="2"/>
  <c r="F66" i="2"/>
  <c r="F37" i="2"/>
  <c r="H37" i="2"/>
  <c r="D37" i="2"/>
  <c r="G37" i="2"/>
  <c r="E37" i="2"/>
  <c r="F6" i="4"/>
  <c r="F65" i="4" s="1"/>
  <c r="H162" i="2"/>
  <c r="H196" i="2" s="1"/>
  <c r="F82" i="2"/>
  <c r="D56" i="17"/>
  <c r="E56" i="17"/>
  <c r="F29" i="17"/>
  <c r="H29" i="17"/>
  <c r="E29" i="17"/>
  <c r="F96" i="4" s="1"/>
  <c r="E95" i="4"/>
  <c r="D29" i="17"/>
  <c r="G29" i="17"/>
  <c r="H96" i="4" s="1"/>
  <c r="G45" i="11"/>
  <c r="F45" i="11"/>
  <c r="H45" i="11"/>
  <c r="B20" i="1"/>
  <c r="H83" i="2"/>
  <c r="G83" i="2"/>
  <c r="E83" i="2"/>
  <c r="J78" i="2"/>
  <c r="D162" i="2"/>
  <c r="D196" i="2" s="1"/>
  <c r="F83" i="2"/>
  <c r="F6" i="29"/>
  <c r="F5" i="29" s="1"/>
  <c r="D82" i="2"/>
  <c r="G6" i="10"/>
  <c r="F5" i="27"/>
  <c r="G6" i="27"/>
  <c r="E6" i="17"/>
  <c r="E6" i="2"/>
  <c r="I62" i="2" s="1"/>
  <c r="E6" i="11"/>
  <c r="E51" i="19"/>
  <c r="F25" i="28"/>
  <c r="E65" i="4"/>
  <c r="E5" i="4"/>
  <c r="G52" i="19"/>
  <c r="G26" i="28"/>
  <c r="G28" i="28" s="1"/>
  <c r="F6" i="5"/>
  <c r="E109" i="2"/>
  <c r="E108" i="2" s="1"/>
  <c r="H45" i="29"/>
  <c r="G82" i="2"/>
  <c r="D69" i="27"/>
  <c r="F69" i="27"/>
  <c r="F45" i="29"/>
  <c r="E6" i="1"/>
  <c r="F6" i="1" s="1"/>
  <c r="F5" i="1" s="1"/>
  <c r="G47" i="28"/>
  <c r="H47" i="28" s="1"/>
  <c r="O72" i="28"/>
  <c r="P84" i="28"/>
  <c r="O78" i="28"/>
  <c r="P70" i="28"/>
  <c r="O70" i="28"/>
  <c r="O82" i="28"/>
  <c r="O81" i="28"/>
  <c r="O75" i="28"/>
  <c r="O79" i="28"/>
  <c r="P71" i="28"/>
  <c r="P77" i="28"/>
  <c r="P83" i="28"/>
  <c r="O74" i="28"/>
  <c r="O84" i="28"/>
  <c r="P81" i="28"/>
  <c r="O77" i="28"/>
  <c r="O76" i="28"/>
  <c r="P82" i="28"/>
  <c r="P78" i="28"/>
  <c r="O73" i="28"/>
  <c r="O71" i="28"/>
  <c r="P76" i="28"/>
  <c r="P79" i="28"/>
  <c r="P75" i="28"/>
  <c r="P74" i="28"/>
  <c r="P73" i="28"/>
  <c r="O83" i="28"/>
  <c r="P72" i="28"/>
  <c r="H70" i="28"/>
  <c r="H79" i="28"/>
  <c r="H71" i="28"/>
  <c r="I81" i="28"/>
  <c r="I72" i="28"/>
  <c r="H78" i="28"/>
  <c r="I79" i="28"/>
  <c r="I71" i="28"/>
  <c r="G36" i="28"/>
  <c r="H36" i="28" s="1"/>
  <c r="I36" i="28" s="1"/>
  <c r="J36" i="28" s="1"/>
  <c r="H77" i="28"/>
  <c r="I78" i="28"/>
  <c r="H76" i="28"/>
  <c r="I77" i="28"/>
  <c r="H74" i="28"/>
  <c r="H84" i="28"/>
  <c r="H75" i="28"/>
  <c r="I70" i="28"/>
  <c r="I76" i="28"/>
  <c r="H83" i="28"/>
  <c r="I84" i="28"/>
  <c r="H82" i="28"/>
  <c r="H73" i="28"/>
  <c r="I83" i="28"/>
  <c r="I74" i="28"/>
  <c r="J70" i="28"/>
  <c r="H81" i="28"/>
  <c r="H72" i="28"/>
  <c r="I82" i="28"/>
  <c r="I73" i="28"/>
  <c r="I75" i="28"/>
  <c r="H63" i="17"/>
  <c r="H57" i="4"/>
  <c r="H59" i="4" s="1"/>
  <c r="I57" i="4"/>
  <c r="I59" i="4" s="1"/>
  <c r="G57" i="4"/>
  <c r="G59" i="4" s="1"/>
  <c r="B48" i="1"/>
  <c r="H82" i="2"/>
  <c r="E124" i="28"/>
  <c r="F124" i="28" s="1"/>
  <c r="E128" i="28"/>
  <c r="F128" i="28" s="1"/>
  <c r="E82" i="2"/>
  <c r="D83" i="2"/>
  <c r="D63" i="17"/>
  <c r="G63" i="17"/>
  <c r="J36" i="10"/>
  <c r="I36" i="10"/>
  <c r="E127" i="28"/>
  <c r="F127" i="28" s="1"/>
  <c r="E191" i="28"/>
  <c r="E188" i="28"/>
  <c r="E63" i="17"/>
  <c r="G36" i="10"/>
  <c r="E185" i="28"/>
  <c r="B121" i="28"/>
  <c r="E184" i="28"/>
  <c r="E190" i="28"/>
  <c r="E130" i="28"/>
  <c r="F130" i="28" s="1"/>
  <c r="E129" i="28"/>
  <c r="F129" i="28" s="1"/>
  <c r="E187" i="28"/>
  <c r="E189" i="28"/>
  <c r="E125" i="28"/>
  <c r="F125" i="28" s="1"/>
  <c r="E126" i="28"/>
  <c r="F126" i="28" s="1"/>
  <c r="E186" i="28"/>
  <c r="G45" i="29"/>
  <c r="D76" i="27"/>
  <c r="F36" i="10"/>
  <c r="G69" i="27"/>
  <c r="E69" i="27"/>
  <c r="G76" i="27"/>
  <c r="E76" i="27"/>
  <c r="F76" i="27"/>
  <c r="H69" i="27"/>
  <c r="I45" i="29"/>
  <c r="H76" i="27"/>
  <c r="E45" i="29"/>
  <c r="F63" i="17"/>
  <c r="E42" i="27" l="1"/>
  <c r="F46" i="27"/>
  <c r="G45" i="27" s="1"/>
  <c r="G46" i="27"/>
  <c r="H45" i="27" s="1"/>
  <c r="M331" i="28"/>
  <c r="F32" i="10"/>
  <c r="P320" i="28"/>
  <c r="P328" i="28"/>
  <c r="P310" i="28"/>
  <c r="P323" i="28"/>
  <c r="P331" i="28"/>
  <c r="P307" i="28"/>
  <c r="P315" i="28"/>
  <c r="P329" i="28"/>
  <c r="P318" i="28"/>
  <c r="P319" i="28"/>
  <c r="P327" i="28"/>
  <c r="P311" i="28"/>
  <c r="P313" i="28"/>
  <c r="P304" i="28"/>
  <c r="P326" i="28"/>
  <c r="P312" i="28"/>
  <c r="P322" i="28"/>
  <c r="P330" i="28"/>
  <c r="P308" i="28"/>
  <c r="P316" i="28"/>
  <c r="P305" i="28"/>
  <c r="P309" i="28"/>
  <c r="P317" i="28"/>
  <c r="P324" i="28"/>
  <c r="P325" i="28"/>
  <c r="P321" i="28"/>
  <c r="P332" i="28"/>
  <c r="P306" i="28"/>
  <c r="P314" i="28"/>
  <c r="O323" i="28"/>
  <c r="O331" i="28"/>
  <c r="O307" i="28"/>
  <c r="O315" i="28"/>
  <c r="O326" i="28"/>
  <c r="O312" i="28"/>
  <c r="O317" i="28"/>
  <c r="O306" i="28"/>
  <c r="O304" i="28"/>
  <c r="O318" i="28"/>
  <c r="O319" i="28"/>
  <c r="O322" i="28"/>
  <c r="O330" i="28"/>
  <c r="O308" i="28"/>
  <c r="O316" i="28"/>
  <c r="O328" i="28"/>
  <c r="O310" i="28"/>
  <c r="O314" i="28"/>
  <c r="O327" i="28"/>
  <c r="O311" i="28"/>
  <c r="O325" i="28"/>
  <c r="O305" i="28"/>
  <c r="O313" i="28"/>
  <c r="O320" i="28"/>
  <c r="O321" i="28"/>
  <c r="O329" i="28"/>
  <c r="O309" i="28"/>
  <c r="O324" i="28"/>
  <c r="O332" i="28"/>
  <c r="R308" i="28"/>
  <c r="R316" i="28"/>
  <c r="R305" i="28"/>
  <c r="R313" i="28"/>
  <c r="R304" i="28"/>
  <c r="R310" i="28"/>
  <c r="R309" i="28"/>
  <c r="R317" i="28"/>
  <c r="R307" i="28"/>
  <c r="R306" i="28"/>
  <c r="R314" i="28"/>
  <c r="R311" i="28"/>
  <c r="R315" i="28"/>
  <c r="R312" i="28"/>
  <c r="N323" i="28"/>
  <c r="N331" i="28"/>
  <c r="N324" i="28"/>
  <c r="N332" i="28"/>
  <c r="N319" i="28"/>
  <c r="N320" i="28"/>
  <c r="N328" i="28"/>
  <c r="N318" i="28"/>
  <c r="N321" i="28"/>
  <c r="N329" i="28"/>
  <c r="N322" i="28"/>
  <c r="N330" i="28"/>
  <c r="N325" i="28"/>
  <c r="N326" i="28"/>
  <c r="N327" i="28"/>
  <c r="M324" i="28"/>
  <c r="M332" i="28"/>
  <c r="M325" i="28"/>
  <c r="M326" i="28"/>
  <c r="M321" i="28"/>
  <c r="M329" i="28"/>
  <c r="M323" i="28"/>
  <c r="M318" i="28"/>
  <c r="M319" i="28"/>
  <c r="M320" i="28"/>
  <c r="M322" i="28"/>
  <c r="M330" i="28"/>
  <c r="M327" i="28"/>
  <c r="M328" i="28"/>
  <c r="Q325" i="28"/>
  <c r="Q305" i="28"/>
  <c r="Q313" i="28"/>
  <c r="Q304" i="28"/>
  <c r="Q320" i="28"/>
  <c r="Q328" i="28"/>
  <c r="Q310" i="28"/>
  <c r="Q323" i="28"/>
  <c r="Q331" i="28"/>
  <c r="Q312" i="28"/>
  <c r="Q329" i="28"/>
  <c r="Q309" i="28"/>
  <c r="Q318" i="28"/>
  <c r="Q324" i="28"/>
  <c r="Q332" i="28"/>
  <c r="Q306" i="28"/>
  <c r="Q314" i="28"/>
  <c r="Q322" i="28"/>
  <c r="Q330" i="28"/>
  <c r="Q316" i="28"/>
  <c r="Q307" i="28"/>
  <c r="Q315" i="28"/>
  <c r="Q326" i="28"/>
  <c r="Q319" i="28"/>
  <c r="Q327" i="28"/>
  <c r="Q311" i="28"/>
  <c r="Q308" i="28"/>
  <c r="Q317" i="28"/>
  <c r="Q321" i="28"/>
  <c r="S311" i="28"/>
  <c r="S308" i="28"/>
  <c r="S316" i="28"/>
  <c r="S312" i="28"/>
  <c r="S306" i="28"/>
  <c r="S309" i="28"/>
  <c r="S317" i="28"/>
  <c r="S314" i="28"/>
  <c r="S313" i="28"/>
  <c r="S307" i="28"/>
  <c r="S305" i="28"/>
  <c r="S304" i="28"/>
  <c r="S310" i="28"/>
  <c r="S315" i="28"/>
  <c r="F27" i="10"/>
  <c r="M18" i="28"/>
  <c r="N18" i="28" s="1"/>
  <c r="L29" i="28"/>
  <c r="G15" i="10"/>
  <c r="G17" i="10" s="1"/>
  <c r="G24" i="10" s="1"/>
  <c r="M360" i="28"/>
  <c r="M361" i="28"/>
  <c r="M362" i="28"/>
  <c r="M355" i="28"/>
  <c r="M364" i="28"/>
  <c r="M357" i="28"/>
  <c r="M365" i="28"/>
  <c r="M358" i="28"/>
  <c r="M366" i="28"/>
  <c r="M354" i="28"/>
  <c r="M356" i="28"/>
  <c r="M359" i="28"/>
  <c r="M367" i="28"/>
  <c r="M353" i="28"/>
  <c r="M363" i="28"/>
  <c r="Q344" i="28"/>
  <c r="Q360" i="28"/>
  <c r="Q343" i="28"/>
  <c r="Q347" i="28"/>
  <c r="Q351" i="28"/>
  <c r="Q355" i="28"/>
  <c r="Q359" i="28"/>
  <c r="Q367" i="28"/>
  <c r="Q352" i="28"/>
  <c r="Q364" i="28"/>
  <c r="Q341" i="28"/>
  <c r="Q345" i="28"/>
  <c r="Q349" i="28"/>
  <c r="Q353" i="28"/>
  <c r="Q357" i="28"/>
  <c r="Q361" i="28"/>
  <c r="Q365" i="28"/>
  <c r="Q356" i="28"/>
  <c r="Q340" i="28"/>
  <c r="Q348" i="28"/>
  <c r="Q339" i="28"/>
  <c r="Q342" i="28"/>
  <c r="Q346" i="28"/>
  <c r="Q350" i="28"/>
  <c r="Q354" i="28"/>
  <c r="Q358" i="28"/>
  <c r="Q362" i="28"/>
  <c r="Q366" i="28"/>
  <c r="Q363" i="28"/>
  <c r="P349" i="28"/>
  <c r="P340" i="28"/>
  <c r="P344" i="28"/>
  <c r="P348" i="28"/>
  <c r="P352" i="28"/>
  <c r="P356" i="28"/>
  <c r="P360" i="28"/>
  <c r="P339" i="28"/>
  <c r="P353" i="28"/>
  <c r="P361" i="28"/>
  <c r="P345" i="28"/>
  <c r="P342" i="28"/>
  <c r="P346" i="28"/>
  <c r="P350" i="28"/>
  <c r="P354" i="28"/>
  <c r="P358" i="28"/>
  <c r="P362" i="28"/>
  <c r="P366" i="28"/>
  <c r="P364" i="28"/>
  <c r="P365" i="28"/>
  <c r="P343" i="28"/>
  <c r="P347" i="28"/>
  <c r="P351" i="28"/>
  <c r="P355" i="28"/>
  <c r="P359" i="28"/>
  <c r="P367" i="28"/>
  <c r="P341" i="28"/>
  <c r="P357" i="28"/>
  <c r="P363" i="28"/>
  <c r="S340" i="28"/>
  <c r="S344" i="28"/>
  <c r="S348" i="28"/>
  <c r="S352" i="28"/>
  <c r="S349" i="28"/>
  <c r="S341" i="28"/>
  <c r="S342" i="28"/>
  <c r="S346" i="28"/>
  <c r="S350" i="28"/>
  <c r="S339" i="28"/>
  <c r="S345" i="28"/>
  <c r="S343" i="28"/>
  <c r="S347" i="28"/>
  <c r="S351" i="28"/>
  <c r="O345" i="28"/>
  <c r="O346" i="28"/>
  <c r="O343" i="28"/>
  <c r="O351" i="28"/>
  <c r="O359" i="28"/>
  <c r="O367" i="28"/>
  <c r="O352" i="28"/>
  <c r="O339" i="28"/>
  <c r="O353" i="28"/>
  <c r="O354" i="28"/>
  <c r="O347" i="28"/>
  <c r="O355" i="28"/>
  <c r="O361" i="28"/>
  <c r="O340" i="28"/>
  <c r="O348" i="28"/>
  <c r="O356" i="28"/>
  <c r="O364" i="28"/>
  <c r="O366" i="28"/>
  <c r="O341" i="28"/>
  <c r="O349" i="28"/>
  <c r="O357" i="28"/>
  <c r="O365" i="28"/>
  <c r="O342" i="28"/>
  <c r="O350" i="28"/>
  <c r="O358" i="28"/>
  <c r="O344" i="28"/>
  <c r="O360" i="28"/>
  <c r="O362" i="28"/>
  <c r="O363" i="28"/>
  <c r="N362" i="28"/>
  <c r="N360" i="28"/>
  <c r="N353" i="28"/>
  <c r="N356" i="28"/>
  <c r="N364" i="28"/>
  <c r="N355" i="28"/>
  <c r="N357" i="28"/>
  <c r="N365" i="28"/>
  <c r="N367" i="28"/>
  <c r="N354" i="28"/>
  <c r="N358" i="28"/>
  <c r="N366" i="28"/>
  <c r="N359" i="28"/>
  <c r="N361" i="28"/>
  <c r="N363" i="28"/>
  <c r="R340" i="28"/>
  <c r="R345" i="28"/>
  <c r="R349" i="28"/>
  <c r="R341" i="28"/>
  <c r="R350" i="28"/>
  <c r="R342" i="28"/>
  <c r="R339" i="28"/>
  <c r="R343" i="28"/>
  <c r="R347" i="28"/>
  <c r="R351" i="28"/>
  <c r="R346" i="28"/>
  <c r="R344" i="28"/>
  <c r="R348" i="28"/>
  <c r="R352" i="28"/>
  <c r="Q83" i="28"/>
  <c r="Q65" i="28"/>
  <c r="Q63" i="28"/>
  <c r="Q61" i="28"/>
  <c r="Q81" i="28"/>
  <c r="Q75" i="28"/>
  <c r="Q73" i="28"/>
  <c r="G6" i="19"/>
  <c r="H6" i="10"/>
  <c r="G5" i="10"/>
  <c r="J73" i="1"/>
  <c r="Q71" i="28"/>
  <c r="Q68" i="28"/>
  <c r="Q57" i="28"/>
  <c r="Q74" i="28"/>
  <c r="Q60" i="28"/>
  <c r="Q70" i="28"/>
  <c r="Q72" i="28"/>
  <c r="Q66" i="28"/>
  <c r="Q76" i="28"/>
  <c r="Q59" i="28"/>
  <c r="Q67" i="28"/>
  <c r="Q56" i="28"/>
  <c r="Q64" i="28"/>
  <c r="Q58" i="28"/>
  <c r="Q79" i="28"/>
  <c r="Q84" i="28"/>
  <c r="Q62" i="28"/>
  <c r="Q78" i="28"/>
  <c r="Q77" i="28"/>
  <c r="Q82" i="28"/>
  <c r="J62" i="28"/>
  <c r="J56" i="28"/>
  <c r="J78" i="28"/>
  <c r="D165" i="2"/>
  <c r="D166" i="2" s="1"/>
  <c r="I88" i="2"/>
  <c r="I38" i="2"/>
  <c r="I67" i="2"/>
  <c r="C35" i="2"/>
  <c r="D42" i="27"/>
  <c r="I96" i="4"/>
  <c r="I97" i="4" s="1"/>
  <c r="G96" i="4"/>
  <c r="G97" i="4" s="1"/>
  <c r="J72" i="28"/>
  <c r="J75" i="28"/>
  <c r="J67" i="28"/>
  <c r="J83" i="28"/>
  <c r="J77" i="28"/>
  <c r="J79" i="28"/>
  <c r="J82" i="28"/>
  <c r="I57" i="2"/>
  <c r="I37" i="2"/>
  <c r="I66" i="2"/>
  <c r="H81" i="4"/>
  <c r="I28" i="2"/>
  <c r="I58" i="2"/>
  <c r="I35" i="2"/>
  <c r="I27" i="2"/>
  <c r="I59" i="2"/>
  <c r="I90" i="2"/>
  <c r="I34" i="2"/>
  <c r="I26" i="2"/>
  <c r="I30" i="2"/>
  <c r="F81" i="4"/>
  <c r="I33" i="2"/>
  <c r="I25" i="2"/>
  <c r="G81" i="4"/>
  <c r="I63" i="2"/>
  <c r="I24" i="2"/>
  <c r="I23" i="2"/>
  <c r="I87" i="2"/>
  <c r="I64" i="2"/>
  <c r="I29" i="2"/>
  <c r="I86" i="2"/>
  <c r="I81" i="4"/>
  <c r="B187" i="28"/>
  <c r="B188" i="28"/>
  <c r="B189" i="28"/>
  <c r="B190" i="28"/>
  <c r="B191" i="28"/>
  <c r="B185" i="28"/>
  <c r="B186" i="28"/>
  <c r="B192" i="28"/>
  <c r="J76" i="28"/>
  <c r="J61" i="28"/>
  <c r="J84" i="28"/>
  <c r="J63" i="28"/>
  <c r="J65" i="28"/>
  <c r="J58" i="28"/>
  <c r="J73" i="28"/>
  <c r="C83" i="1"/>
  <c r="C102" i="2"/>
  <c r="C81" i="1"/>
  <c r="J81" i="28"/>
  <c r="J60" i="28"/>
  <c r="J69" i="28"/>
  <c r="J57" i="28"/>
  <c r="J71" i="28"/>
  <c r="J59" i="28"/>
  <c r="J68" i="28"/>
  <c r="J66" i="28"/>
  <c r="J64" i="28"/>
  <c r="C72" i="27"/>
  <c r="D67" i="29"/>
  <c r="D69" i="29"/>
  <c r="C23" i="19"/>
  <c r="C71" i="17"/>
  <c r="C94" i="2"/>
  <c r="C62" i="5"/>
  <c r="C12" i="5"/>
  <c r="C15" i="2"/>
  <c r="E20" i="10"/>
  <c r="C103" i="2"/>
  <c r="C44" i="17"/>
  <c r="C19" i="2"/>
  <c r="C20" i="5"/>
  <c r="C82" i="2"/>
  <c r="C87" i="17"/>
  <c r="C14" i="5"/>
  <c r="C96" i="2"/>
  <c r="C87" i="1"/>
  <c r="C83" i="17"/>
  <c r="E43" i="10"/>
  <c r="C48" i="2"/>
  <c r="C16" i="5"/>
  <c r="C67" i="5"/>
  <c r="C72" i="2"/>
  <c r="C73" i="27"/>
  <c r="D64" i="29"/>
  <c r="E12" i="10"/>
  <c r="D70" i="29"/>
  <c r="C64" i="5"/>
  <c r="C80" i="1"/>
  <c r="C70" i="17"/>
  <c r="C82" i="1"/>
  <c r="C14" i="2"/>
  <c r="C85" i="1"/>
  <c r="E19" i="10"/>
  <c r="C43" i="2"/>
  <c r="E40" i="10"/>
  <c r="E41" i="10"/>
  <c r="D62" i="29"/>
  <c r="E39" i="10"/>
  <c r="E44" i="10"/>
  <c r="C52" i="5"/>
  <c r="C70" i="1"/>
  <c r="D40" i="29"/>
  <c r="C79" i="1"/>
  <c r="C75" i="1"/>
  <c r="C54" i="2"/>
  <c r="C78" i="2"/>
  <c r="C66" i="1"/>
  <c r="C21" i="19"/>
  <c r="E21" i="10"/>
  <c r="C84" i="1"/>
  <c r="C88" i="2"/>
  <c r="C49" i="2"/>
  <c r="C65" i="5"/>
  <c r="E45" i="10"/>
  <c r="C76" i="2"/>
  <c r="E18" i="10"/>
  <c r="C77" i="2"/>
  <c r="C74" i="27"/>
  <c r="C91" i="1"/>
  <c r="C20" i="2"/>
  <c r="C18" i="19"/>
  <c r="E23" i="10"/>
  <c r="C85" i="17"/>
  <c r="C57" i="2"/>
  <c r="C15" i="5"/>
  <c r="C66" i="5"/>
  <c r="C77" i="1"/>
  <c r="C69" i="1"/>
  <c r="C90" i="1"/>
  <c r="C59" i="2"/>
  <c r="C17" i="5"/>
  <c r="C77" i="17"/>
  <c r="C74" i="1"/>
  <c r="C57" i="17"/>
  <c r="C41" i="5"/>
  <c r="D60" i="29"/>
  <c r="C67" i="1"/>
  <c r="E22" i="10"/>
  <c r="C88" i="1"/>
  <c r="E24" i="10"/>
  <c r="C68" i="1"/>
  <c r="C83" i="2"/>
  <c r="C53" i="2"/>
  <c r="C47" i="2"/>
  <c r="C87" i="2"/>
  <c r="B63" i="1"/>
  <c r="C73" i="1"/>
  <c r="C65" i="1"/>
  <c r="C18" i="5"/>
  <c r="E17" i="10"/>
  <c r="E15" i="10"/>
  <c r="D56" i="29"/>
  <c r="C86" i="1"/>
  <c r="D52" i="29"/>
  <c r="C72" i="1"/>
  <c r="E16" i="10"/>
  <c r="C101" i="2"/>
  <c r="C63" i="5"/>
  <c r="C13" i="2"/>
  <c r="C78" i="1"/>
  <c r="C22" i="19"/>
  <c r="C71" i="1"/>
  <c r="C54" i="19"/>
  <c r="R55" i="28"/>
  <c r="Q80" i="28"/>
  <c r="K55" i="28"/>
  <c r="K78" i="28" s="1"/>
  <c r="J80" i="28"/>
  <c r="C58" i="2"/>
  <c r="C53" i="5"/>
  <c r="C42" i="2"/>
  <c r="C37" i="5"/>
  <c r="C70" i="2"/>
  <c r="C45" i="5"/>
  <c r="C30" i="2"/>
  <c r="C19" i="5"/>
  <c r="C38" i="5"/>
  <c r="C23" i="2"/>
  <c r="C86" i="2"/>
  <c r="C48" i="5"/>
  <c r="C71" i="2"/>
  <c r="C29" i="2"/>
  <c r="C39" i="5"/>
  <c r="C95" i="2"/>
  <c r="C41" i="2"/>
  <c r="C76" i="1"/>
  <c r="C54" i="5"/>
  <c r="C40" i="5"/>
  <c r="C63" i="2"/>
  <c r="C33" i="2"/>
  <c r="C34" i="2"/>
  <c r="C51" i="5"/>
  <c r="C46" i="5"/>
  <c r="C55" i="5"/>
  <c r="C64" i="2"/>
  <c r="C62" i="2"/>
  <c r="C44" i="5"/>
  <c r="C47" i="5"/>
  <c r="E165" i="2"/>
  <c r="H95" i="2"/>
  <c r="H80" i="4"/>
  <c r="H92" i="4" s="1"/>
  <c r="J56" i="17"/>
  <c r="C6" i="28"/>
  <c r="E95" i="2"/>
  <c r="F5" i="4"/>
  <c r="G6" i="4"/>
  <c r="F95" i="2"/>
  <c r="G95" i="2"/>
  <c r="D76" i="1"/>
  <c r="G6" i="1"/>
  <c r="G5" i="1" s="1"/>
  <c r="E5" i="1"/>
  <c r="E5" i="5"/>
  <c r="E74" i="1"/>
  <c r="D95" i="2"/>
  <c r="D94" i="2"/>
  <c r="E94" i="2"/>
  <c r="F94" i="2"/>
  <c r="G94" i="2"/>
  <c r="H94" i="2"/>
  <c r="J91" i="2"/>
  <c r="J90" i="2"/>
  <c r="J38" i="2"/>
  <c r="J67" i="2"/>
  <c r="J66" i="2"/>
  <c r="J37" i="2"/>
  <c r="G105" i="4"/>
  <c r="G162" i="2"/>
  <c r="G196" i="2" s="1"/>
  <c r="F162" i="2"/>
  <c r="F196" i="2" s="1"/>
  <c r="E162" i="2"/>
  <c r="E196" i="2" s="1"/>
  <c r="F31" i="17"/>
  <c r="H97" i="4"/>
  <c r="G31" i="17"/>
  <c r="F97" i="4"/>
  <c r="E31" i="17"/>
  <c r="E96" i="4"/>
  <c r="E97" i="4" s="1"/>
  <c r="D31" i="17"/>
  <c r="G6" i="29"/>
  <c r="G5" i="29" s="1"/>
  <c r="G27" i="10"/>
  <c r="E5" i="2"/>
  <c r="F6" i="2"/>
  <c r="E5" i="17"/>
  <c r="F6" i="17"/>
  <c r="G5" i="27"/>
  <c r="H6" i="27"/>
  <c r="H5" i="27" s="1"/>
  <c r="E5" i="11"/>
  <c r="F6" i="11"/>
  <c r="G6" i="5"/>
  <c r="G5" i="19"/>
  <c r="H6" i="19"/>
  <c r="H5" i="19" s="1"/>
  <c r="F109" i="2"/>
  <c r="G25" i="28"/>
  <c r="H26" i="28"/>
  <c r="F5" i="5"/>
  <c r="H52" i="19"/>
  <c r="H51" i="19" s="1"/>
  <c r="G51" i="19"/>
  <c r="F34" i="10"/>
  <c r="F35" i="10"/>
  <c r="J82" i="2"/>
  <c r="G35" i="10"/>
  <c r="I47" i="28"/>
  <c r="J47" i="28" s="1"/>
  <c r="B126" i="28"/>
  <c r="B15" i="5" s="1"/>
  <c r="B69" i="1" s="1"/>
  <c r="B129" i="28"/>
  <c r="B18" i="5" s="1"/>
  <c r="B72" i="1" s="1"/>
  <c r="B127" i="28"/>
  <c r="B16" i="5" s="1"/>
  <c r="B70" i="1" s="1"/>
  <c r="B128" i="28"/>
  <c r="B17" i="5" s="1"/>
  <c r="B71" i="1" s="1"/>
  <c r="B130" i="28"/>
  <c r="B19" i="5" s="1"/>
  <c r="B73" i="1" s="1"/>
  <c r="B125" i="28"/>
  <c r="B14" i="5" s="1"/>
  <c r="B68" i="1" s="1"/>
  <c r="J83" i="2"/>
  <c r="H15" i="4"/>
  <c r="H18" i="4" s="1"/>
  <c r="D75" i="1"/>
  <c r="D74" i="1"/>
  <c r="E15" i="4"/>
  <c r="E18" i="4" s="1"/>
  <c r="E20" i="4" s="1"/>
  <c r="B131" i="28"/>
  <c r="G15" i="4"/>
  <c r="G18" i="4" s="1"/>
  <c r="F38" i="29"/>
  <c r="F23" i="29" s="1"/>
  <c r="F15" i="4"/>
  <c r="E18" i="19"/>
  <c r="E42" i="17"/>
  <c r="E54" i="19"/>
  <c r="E82" i="1" s="1"/>
  <c r="I15" i="4"/>
  <c r="I18" i="4" s="1"/>
  <c r="E46" i="27" l="1"/>
  <c r="F45" i="27" s="1"/>
  <c r="F65" i="27" s="1"/>
  <c r="G65" i="27"/>
  <c r="H6" i="1"/>
  <c r="H5" i="1" s="1"/>
  <c r="H34" i="10"/>
  <c r="F18" i="4"/>
  <c r="F20" i="4" s="1"/>
  <c r="F34" i="17"/>
  <c r="E34" i="17"/>
  <c r="G34" i="17"/>
  <c r="D34" i="17"/>
  <c r="I95" i="2"/>
  <c r="H15" i="10"/>
  <c r="H17" i="10" s="1"/>
  <c r="H24" i="10" s="1"/>
  <c r="I15" i="10" s="1"/>
  <c r="I17" i="10" s="1"/>
  <c r="I24" i="10" s="1"/>
  <c r="J15" i="10" s="1"/>
  <c r="J17" i="10" s="1"/>
  <c r="J24" i="10" s="1"/>
  <c r="G32" i="10"/>
  <c r="E67" i="27" s="1"/>
  <c r="I6" i="10"/>
  <c r="H5" i="10"/>
  <c r="H27" i="10" s="1"/>
  <c r="J75" i="1"/>
  <c r="K75" i="1"/>
  <c r="J74" i="1"/>
  <c r="D46" i="27"/>
  <c r="H28" i="28"/>
  <c r="I94" i="2"/>
  <c r="G5" i="4"/>
  <c r="E166" i="2"/>
  <c r="K57" i="28"/>
  <c r="H6" i="4"/>
  <c r="H5" i="4" s="1"/>
  <c r="G65" i="4"/>
  <c r="K66" i="28"/>
  <c r="G34" i="10" s="1"/>
  <c r="G37" i="10" s="1"/>
  <c r="K60" i="28"/>
  <c r="K83" i="28"/>
  <c r="K63" i="28"/>
  <c r="K59" i="28"/>
  <c r="K81" i="28"/>
  <c r="K56" i="28"/>
  <c r="K73" i="28"/>
  <c r="K64" i="28"/>
  <c r="K58" i="28"/>
  <c r="K68" i="28"/>
  <c r="K77" i="28"/>
  <c r="K75" i="28"/>
  <c r="K67" i="28"/>
  <c r="K71" i="28"/>
  <c r="K84" i="28"/>
  <c r="K62" i="28"/>
  <c r="K72" i="28"/>
  <c r="K74" i="28"/>
  <c r="K65" i="28"/>
  <c r="K76" i="28"/>
  <c r="K61" i="28"/>
  <c r="K82" i="28"/>
  <c r="K69" i="28"/>
  <c r="L55" i="28"/>
  <c r="K80" i="28"/>
  <c r="K79" i="28"/>
  <c r="K70" i="28"/>
  <c r="S55" i="28"/>
  <c r="R80" i="28"/>
  <c r="R62" i="28"/>
  <c r="R82" i="28"/>
  <c r="R60" i="28"/>
  <c r="R74" i="28"/>
  <c r="R73" i="28"/>
  <c r="R75" i="28"/>
  <c r="R57" i="28"/>
  <c r="R72" i="28"/>
  <c r="R61" i="28"/>
  <c r="R64" i="28"/>
  <c r="R70" i="28"/>
  <c r="R83" i="28"/>
  <c r="R59" i="28"/>
  <c r="R58" i="28"/>
  <c r="R63" i="28"/>
  <c r="R76" i="28"/>
  <c r="R79" i="28"/>
  <c r="R77" i="28"/>
  <c r="R84" i="28"/>
  <c r="R68" i="28"/>
  <c r="R67" i="28"/>
  <c r="R56" i="28"/>
  <c r="R81" i="28"/>
  <c r="R71" i="28"/>
  <c r="R69" i="28"/>
  <c r="R65" i="28"/>
  <c r="R78" i="28"/>
  <c r="R66" i="28"/>
  <c r="F165" i="2"/>
  <c r="H96" i="2"/>
  <c r="E96" i="2"/>
  <c r="F96" i="2"/>
  <c r="G96" i="2"/>
  <c r="B78" i="1"/>
  <c r="B77" i="1"/>
  <c r="B81" i="1"/>
  <c r="B80" i="1"/>
  <c r="B79" i="1"/>
  <c r="J95" i="2"/>
  <c r="D96" i="2"/>
  <c r="I6" i="4"/>
  <c r="I5" i="4" s="1"/>
  <c r="H65" i="4"/>
  <c r="B19" i="1"/>
  <c r="B46" i="1"/>
  <c r="H105" i="4"/>
  <c r="F93" i="4"/>
  <c r="I105" i="4"/>
  <c r="G5" i="5"/>
  <c r="F37" i="10"/>
  <c r="J94" i="2"/>
  <c r="H6" i="29"/>
  <c r="H5" i="29" s="1"/>
  <c r="G38" i="29"/>
  <c r="G23" i="29" s="1"/>
  <c r="F5" i="2"/>
  <c r="G6" i="2"/>
  <c r="F5" i="17"/>
  <c r="G6" i="17"/>
  <c r="J71" i="1"/>
  <c r="F5" i="11"/>
  <c r="G6" i="11"/>
  <c r="J72" i="1"/>
  <c r="H6" i="5"/>
  <c r="G109" i="2"/>
  <c r="F108" i="2"/>
  <c r="F74" i="1"/>
  <c r="H25" i="28"/>
  <c r="I26" i="28"/>
  <c r="F18" i="19"/>
  <c r="F42" i="17"/>
  <c r="F57" i="17" s="1"/>
  <c r="F54" i="19"/>
  <c r="F82" i="1" s="1"/>
  <c r="B42" i="1"/>
  <c r="B16" i="1"/>
  <c r="E57" i="17"/>
  <c r="D67" i="27"/>
  <c r="F40" i="17" l="1"/>
  <c r="I5" i="10"/>
  <c r="I27" i="10" s="1"/>
  <c r="J6" i="10"/>
  <c r="J5" i="10" s="1"/>
  <c r="J27" i="10" s="1"/>
  <c r="F41" i="10"/>
  <c r="G41" i="10"/>
  <c r="D65" i="27"/>
  <c r="E45" i="27"/>
  <c r="I28" i="28"/>
  <c r="I32" i="10"/>
  <c r="I96" i="2"/>
  <c r="F166" i="2"/>
  <c r="F198" i="2"/>
  <c r="H32" i="10"/>
  <c r="I34" i="10"/>
  <c r="T55" i="28"/>
  <c r="S80" i="28"/>
  <c r="S76" i="28"/>
  <c r="S72" i="28"/>
  <c r="S63" i="28"/>
  <c r="S68" i="28"/>
  <c r="S79" i="28"/>
  <c r="S70" i="28"/>
  <c r="S56" i="28"/>
  <c r="S81" i="28"/>
  <c r="S58" i="28"/>
  <c r="S84" i="28"/>
  <c r="S65" i="28"/>
  <c r="S73" i="28"/>
  <c r="S77" i="28"/>
  <c r="S78" i="28"/>
  <c r="S71" i="28"/>
  <c r="S62" i="28"/>
  <c r="S67" i="28"/>
  <c r="S60" i="28"/>
  <c r="S69" i="28"/>
  <c r="S83" i="28"/>
  <c r="S64" i="28"/>
  <c r="S59" i="28"/>
  <c r="S82" i="28"/>
  <c r="S75" i="28"/>
  <c r="S66" i="28"/>
  <c r="H35" i="10" s="1"/>
  <c r="H37" i="10" s="1"/>
  <c r="S74" i="28"/>
  <c r="S61" i="28"/>
  <c r="S57" i="28"/>
  <c r="M55" i="28"/>
  <c r="L80" i="28"/>
  <c r="L74" i="28"/>
  <c r="L60" i="28"/>
  <c r="L78" i="28"/>
  <c r="L62" i="28"/>
  <c r="L76" i="28"/>
  <c r="L58" i="28"/>
  <c r="L81" i="28"/>
  <c r="L59" i="28"/>
  <c r="L72" i="28"/>
  <c r="L73" i="28"/>
  <c r="L67" i="28"/>
  <c r="L64" i="28"/>
  <c r="L71" i="28"/>
  <c r="L84" i="28"/>
  <c r="L63" i="28"/>
  <c r="L77" i="28"/>
  <c r="L70" i="28"/>
  <c r="L79" i="28"/>
  <c r="L68" i="28"/>
  <c r="L57" i="28"/>
  <c r="L83" i="28"/>
  <c r="L66" i="28"/>
  <c r="L56" i="28"/>
  <c r="L61" i="28"/>
  <c r="L69" i="28"/>
  <c r="L82" i="28"/>
  <c r="L75" i="28"/>
  <c r="L65" i="28"/>
  <c r="G165" i="2"/>
  <c r="B26" i="1"/>
  <c r="B53" i="1"/>
  <c r="B23" i="1"/>
  <c r="B50" i="1"/>
  <c r="B24" i="1"/>
  <c r="B51" i="1"/>
  <c r="B27" i="1"/>
  <c r="B54" i="1"/>
  <c r="B52" i="1"/>
  <c r="B25" i="1"/>
  <c r="I65" i="4"/>
  <c r="J96" i="2"/>
  <c r="G76" i="1"/>
  <c r="G93" i="4"/>
  <c r="I6" i="29"/>
  <c r="I5" i="29" s="1"/>
  <c r="H5" i="5"/>
  <c r="G18" i="19"/>
  <c r="H6" i="17"/>
  <c r="G5" i="17"/>
  <c r="I54" i="17"/>
  <c r="G74" i="1"/>
  <c r="G5" i="2"/>
  <c r="H6" i="2"/>
  <c r="I77" i="2" s="1"/>
  <c r="H6" i="11"/>
  <c r="H5" i="11" s="1"/>
  <c r="G5" i="11"/>
  <c r="I56" i="17"/>
  <c r="G108" i="2"/>
  <c r="H109" i="2"/>
  <c r="H38" i="29"/>
  <c r="H23" i="29" s="1"/>
  <c r="J26" i="28"/>
  <c r="G42" i="17"/>
  <c r="G57" i="17" s="1"/>
  <c r="I25" i="28"/>
  <c r="G54" i="19"/>
  <c r="G82" i="1" s="1"/>
  <c r="B43" i="1"/>
  <c r="B15" i="1"/>
  <c r="J69" i="1"/>
  <c r="J81" i="1"/>
  <c r="J78" i="1"/>
  <c r="F33" i="29"/>
  <c r="B44" i="1"/>
  <c r="B17" i="1"/>
  <c r="B45" i="1"/>
  <c r="B18" i="1"/>
  <c r="B41" i="1"/>
  <c r="B14" i="1"/>
  <c r="J70" i="1"/>
  <c r="F67" i="27" l="1"/>
  <c r="F66" i="27" s="1"/>
  <c r="G40" i="10"/>
  <c r="D40" i="17"/>
  <c r="D68" i="27"/>
  <c r="G39" i="10"/>
  <c r="E74" i="27"/>
  <c r="H41" i="10"/>
  <c r="F40" i="10"/>
  <c r="F39" i="10"/>
  <c r="D74" i="27"/>
  <c r="D66" i="27"/>
  <c r="E65" i="27"/>
  <c r="J28" i="28"/>
  <c r="J32" i="10"/>
  <c r="G67" i="27"/>
  <c r="G66" i="27" s="1"/>
  <c r="F66" i="17"/>
  <c r="F44" i="17"/>
  <c r="G166" i="2"/>
  <c r="G198" i="2"/>
  <c r="J34" i="10"/>
  <c r="N55" i="28"/>
  <c r="M64" i="28"/>
  <c r="M65" i="28"/>
  <c r="M57" i="28"/>
  <c r="M69" i="28"/>
  <c r="M56" i="28"/>
  <c r="M63" i="28"/>
  <c r="M58" i="28"/>
  <c r="M68" i="28"/>
  <c r="M59" i="28"/>
  <c r="M62" i="28"/>
  <c r="M66" i="28"/>
  <c r="M61" i="28"/>
  <c r="M60" i="28"/>
  <c r="M67" i="28"/>
  <c r="U55" i="28"/>
  <c r="T56" i="28"/>
  <c r="T64" i="28"/>
  <c r="T67" i="28"/>
  <c r="T60" i="28"/>
  <c r="T59" i="28"/>
  <c r="T61" i="28"/>
  <c r="T69" i="28"/>
  <c r="T57" i="28"/>
  <c r="T63" i="28"/>
  <c r="T66" i="28"/>
  <c r="I35" i="10" s="1"/>
  <c r="I37" i="10" s="1"/>
  <c r="T62" i="28"/>
  <c r="T58" i="28"/>
  <c r="T65" i="28"/>
  <c r="T68" i="28"/>
  <c r="H76" i="1"/>
  <c r="H93" i="4"/>
  <c r="H42" i="17"/>
  <c r="H57" i="17" s="1"/>
  <c r="K78" i="1"/>
  <c r="I38" i="29"/>
  <c r="I23" i="29" s="1"/>
  <c r="H5" i="2"/>
  <c r="I82" i="2"/>
  <c r="I76" i="2"/>
  <c r="I78" i="2" s="1"/>
  <c r="H5" i="17"/>
  <c r="I50" i="17"/>
  <c r="I48" i="17"/>
  <c r="I49" i="17"/>
  <c r="I47" i="17"/>
  <c r="I51" i="17"/>
  <c r="I52" i="17"/>
  <c r="I53" i="17"/>
  <c r="I83" i="2"/>
  <c r="H108" i="2"/>
  <c r="J25" i="28"/>
  <c r="K26" i="28"/>
  <c r="H18" i="19"/>
  <c r="H54" i="19"/>
  <c r="H82" i="1" s="1"/>
  <c r="H74" i="1"/>
  <c r="K74" i="1" s="1"/>
  <c r="J79" i="1"/>
  <c r="J80" i="1"/>
  <c r="F68" i="27" l="1"/>
  <c r="E90" i="1"/>
  <c r="E27" i="1" s="1"/>
  <c r="G44" i="10"/>
  <c r="G43" i="10"/>
  <c r="F43" i="10"/>
  <c r="H39" i="10"/>
  <c r="H67" i="27"/>
  <c r="D70" i="27"/>
  <c r="E46" i="29"/>
  <c r="E21" i="1"/>
  <c r="E20" i="1"/>
  <c r="E14" i="1"/>
  <c r="E25" i="1"/>
  <c r="E28" i="1"/>
  <c r="E13" i="1"/>
  <c r="E17" i="1"/>
  <c r="E26" i="1"/>
  <c r="E19" i="1"/>
  <c r="H40" i="10"/>
  <c r="F74" i="27"/>
  <c r="I41" i="10"/>
  <c r="F44" i="10"/>
  <c r="D90" i="1"/>
  <c r="D14" i="1" s="1"/>
  <c r="G68" i="27"/>
  <c r="D72" i="27"/>
  <c r="D75" i="27" s="1"/>
  <c r="D73" i="27"/>
  <c r="E40" i="17"/>
  <c r="E68" i="27"/>
  <c r="E66" i="27"/>
  <c r="K28" i="28"/>
  <c r="H166" i="2"/>
  <c r="H198" i="2"/>
  <c r="U64" i="28"/>
  <c r="U58" i="28"/>
  <c r="U67" i="28"/>
  <c r="U68" i="28"/>
  <c r="U69" i="28"/>
  <c r="U65" i="28"/>
  <c r="U62" i="28"/>
  <c r="U60" i="28"/>
  <c r="U56" i="28"/>
  <c r="U63" i="28"/>
  <c r="U57" i="28"/>
  <c r="U66" i="28"/>
  <c r="J35" i="10" s="1"/>
  <c r="U61" i="28"/>
  <c r="U59" i="28"/>
  <c r="N57" i="28"/>
  <c r="N66" i="28"/>
  <c r="N67" i="28"/>
  <c r="N68" i="28"/>
  <c r="N69" i="28"/>
  <c r="N58" i="28"/>
  <c r="N65" i="28"/>
  <c r="N56" i="28"/>
  <c r="N61" i="28"/>
  <c r="N63" i="28"/>
  <c r="N64" i="28"/>
  <c r="N60" i="28"/>
  <c r="N62" i="28"/>
  <c r="N59" i="28"/>
  <c r="D54" i="19"/>
  <c r="D82" i="1" s="1"/>
  <c r="I93" i="4"/>
  <c r="H33" i="29"/>
  <c r="K25" i="28"/>
  <c r="L26" i="28"/>
  <c r="G33" i="29"/>
  <c r="J77" i="1"/>
  <c r="J67" i="1"/>
  <c r="J68" i="1"/>
  <c r="E15" i="1"/>
  <c r="K69" i="1"/>
  <c r="G45" i="10" l="1"/>
  <c r="E24" i="1"/>
  <c r="E18" i="1"/>
  <c r="H46" i="29"/>
  <c r="F70" i="27"/>
  <c r="E65" i="1"/>
  <c r="E11" i="1" s="1"/>
  <c r="F72" i="27"/>
  <c r="F75" i="27" s="1"/>
  <c r="F77" i="27" s="1"/>
  <c r="G46" i="29"/>
  <c r="E23" i="1"/>
  <c r="E16" i="1"/>
  <c r="H44" i="10"/>
  <c r="H43" i="10"/>
  <c r="D65" i="1"/>
  <c r="D77" i="17"/>
  <c r="I39" i="10"/>
  <c r="E77" i="17"/>
  <c r="J14" i="1"/>
  <c r="F90" i="1"/>
  <c r="F28" i="1" s="1"/>
  <c r="F73" i="27"/>
  <c r="F91" i="1" s="1"/>
  <c r="G74" i="27"/>
  <c r="G72" i="27" s="1"/>
  <c r="G75" i="27" s="1"/>
  <c r="G64" i="17" s="1"/>
  <c r="G71" i="17" s="1"/>
  <c r="J13" i="1"/>
  <c r="D13" i="1"/>
  <c r="I40" i="10"/>
  <c r="F45" i="10"/>
  <c r="J23" i="1"/>
  <c r="J18" i="1"/>
  <c r="J15" i="1"/>
  <c r="D21" i="1"/>
  <c r="D18" i="1"/>
  <c r="D25" i="1"/>
  <c r="D24" i="1"/>
  <c r="D27" i="1"/>
  <c r="D20" i="1"/>
  <c r="J24" i="1"/>
  <c r="D22" i="1"/>
  <c r="D23" i="1"/>
  <c r="J25" i="1"/>
  <c r="D26" i="1"/>
  <c r="J19" i="1"/>
  <c r="J16" i="1"/>
  <c r="D16" i="1"/>
  <c r="J26" i="1"/>
  <c r="J17" i="1"/>
  <c r="D17" i="1"/>
  <c r="D15" i="1"/>
  <c r="J27" i="1"/>
  <c r="J20" i="1"/>
  <c r="J21" i="1"/>
  <c r="D19" i="1"/>
  <c r="G70" i="27"/>
  <c r="D91" i="1"/>
  <c r="D77" i="27"/>
  <c r="D64" i="17"/>
  <c r="F46" i="29"/>
  <c r="E70" i="27"/>
  <c r="E72" i="27"/>
  <c r="E75" i="27" s="1"/>
  <c r="E73" i="27"/>
  <c r="E91" i="1" s="1"/>
  <c r="E66" i="17"/>
  <c r="E44" i="17"/>
  <c r="L28" i="28"/>
  <c r="J28" i="1"/>
  <c r="J37" i="10"/>
  <c r="J41" i="10" s="1"/>
  <c r="D42" i="17"/>
  <c r="D44" i="17" s="1"/>
  <c r="H165" i="2"/>
  <c r="K82" i="1"/>
  <c r="D18" i="19"/>
  <c r="J82" i="1"/>
  <c r="D28" i="1"/>
  <c r="E38" i="29"/>
  <c r="E23" i="29" s="1"/>
  <c r="I33" i="29"/>
  <c r="K81" i="1"/>
  <c r="L25" i="28"/>
  <c r="K80" i="1"/>
  <c r="K79" i="1"/>
  <c r="K72" i="1"/>
  <c r="K70" i="1"/>
  <c r="K71" i="1"/>
  <c r="J65" i="1" l="1"/>
  <c r="H45" i="10"/>
  <c r="F41" i="1"/>
  <c r="H42" i="27"/>
  <c r="D11" i="1"/>
  <c r="F64" i="17"/>
  <c r="F67" i="17" s="1"/>
  <c r="F68" i="17" s="1"/>
  <c r="F70" i="17" s="1"/>
  <c r="E83" i="17"/>
  <c r="F66" i="29" s="1"/>
  <c r="F67" i="29" s="1"/>
  <c r="J11" i="1"/>
  <c r="F77" i="17"/>
  <c r="F83" i="17" s="1"/>
  <c r="G66" i="29" s="1"/>
  <c r="G67" i="29" s="1"/>
  <c r="G90" i="1"/>
  <c r="G21" i="1" s="1"/>
  <c r="I43" i="10"/>
  <c r="F65" i="1"/>
  <c r="F11" i="1" s="1"/>
  <c r="F24" i="1"/>
  <c r="F14" i="1"/>
  <c r="F26" i="1"/>
  <c r="F25" i="1"/>
  <c r="F23" i="1"/>
  <c r="F13" i="1"/>
  <c r="F19" i="1"/>
  <c r="F47" i="1"/>
  <c r="F55" i="1"/>
  <c r="F21" i="1"/>
  <c r="F16" i="1"/>
  <c r="F15" i="1"/>
  <c r="F17" i="1"/>
  <c r="F51" i="1"/>
  <c r="F50" i="1"/>
  <c r="F46" i="1"/>
  <c r="F53" i="1"/>
  <c r="F40" i="1"/>
  <c r="F52" i="1"/>
  <c r="F43" i="1"/>
  <c r="F54" i="1"/>
  <c r="F42" i="1"/>
  <c r="F48" i="1"/>
  <c r="F27" i="1"/>
  <c r="F18" i="1"/>
  <c r="F20" i="1"/>
  <c r="F45" i="1"/>
  <c r="F44" i="1"/>
  <c r="G73" i="27"/>
  <c r="G91" i="1" s="1"/>
  <c r="I44" i="10"/>
  <c r="G77" i="27"/>
  <c r="J55" i="1"/>
  <c r="D54" i="1"/>
  <c r="D49" i="1"/>
  <c r="D47" i="1"/>
  <c r="D51" i="1"/>
  <c r="D38" i="1"/>
  <c r="D41" i="1"/>
  <c r="D43" i="1"/>
  <c r="D53" i="1"/>
  <c r="D52" i="1"/>
  <c r="D55" i="1"/>
  <c r="D50" i="1"/>
  <c r="D48" i="1"/>
  <c r="D40" i="1"/>
  <c r="D45" i="1"/>
  <c r="D44" i="1"/>
  <c r="D42" i="1"/>
  <c r="D57" i="17"/>
  <c r="D71" i="17" s="1"/>
  <c r="D46" i="1"/>
  <c r="J50" i="1"/>
  <c r="E53" i="1"/>
  <c r="E48" i="1"/>
  <c r="E55" i="1"/>
  <c r="J45" i="1"/>
  <c r="J43" i="1"/>
  <c r="J51" i="1"/>
  <c r="E43" i="1"/>
  <c r="E41" i="1"/>
  <c r="J41" i="1"/>
  <c r="J40" i="1"/>
  <c r="J52" i="1"/>
  <c r="E46" i="1"/>
  <c r="E47" i="1"/>
  <c r="J44" i="1"/>
  <c r="J47" i="1"/>
  <c r="E51" i="1"/>
  <c r="E44" i="1"/>
  <c r="J48" i="1"/>
  <c r="J53" i="1"/>
  <c r="E45" i="1"/>
  <c r="J46" i="1"/>
  <c r="J54" i="1"/>
  <c r="E50" i="1"/>
  <c r="J42" i="1"/>
  <c r="E42" i="1"/>
  <c r="E40" i="1"/>
  <c r="J38" i="1"/>
  <c r="E54" i="1"/>
  <c r="E52" i="1"/>
  <c r="E38" i="1"/>
  <c r="E64" i="17"/>
  <c r="E77" i="27"/>
  <c r="G40" i="17"/>
  <c r="J40" i="10"/>
  <c r="H74" i="27"/>
  <c r="J39" i="10"/>
  <c r="D66" i="17"/>
  <c r="K67" i="1"/>
  <c r="K77" i="1"/>
  <c r="K68" i="1"/>
  <c r="H46" i="27" l="1"/>
  <c r="H65" i="27" s="1"/>
  <c r="G17" i="1"/>
  <c r="G28" i="1"/>
  <c r="G22" i="1"/>
  <c r="G27" i="1"/>
  <c r="G20" i="1"/>
  <c r="G15" i="1"/>
  <c r="G24" i="1"/>
  <c r="G26" i="1"/>
  <c r="G25" i="1"/>
  <c r="G23" i="1"/>
  <c r="G13" i="1"/>
  <c r="G19" i="1"/>
  <c r="G18" i="1"/>
  <c r="G14" i="1"/>
  <c r="G16" i="1"/>
  <c r="F71" i="17"/>
  <c r="F85" i="17" s="1"/>
  <c r="F84" i="1" s="1"/>
  <c r="F38" i="1"/>
  <c r="G65" i="1"/>
  <c r="G11" i="1" s="1"/>
  <c r="G77" i="17"/>
  <c r="J43" i="10"/>
  <c r="H77" i="17" s="1"/>
  <c r="G41" i="1"/>
  <c r="G49" i="1"/>
  <c r="G51" i="1"/>
  <c r="G44" i="1"/>
  <c r="G42" i="1"/>
  <c r="G53" i="1"/>
  <c r="G45" i="1"/>
  <c r="G50" i="1"/>
  <c r="G55" i="1"/>
  <c r="G47" i="1"/>
  <c r="G40" i="1"/>
  <c r="G43" i="1"/>
  <c r="G48" i="1"/>
  <c r="G54" i="1"/>
  <c r="G52" i="1"/>
  <c r="G46" i="1"/>
  <c r="I45" i="10"/>
  <c r="I57" i="17"/>
  <c r="J57" i="17"/>
  <c r="E67" i="17"/>
  <c r="E68" i="17" s="1"/>
  <c r="E70" i="17" s="1"/>
  <c r="E71" i="17"/>
  <c r="I71" i="17" s="1"/>
  <c r="D83" i="17"/>
  <c r="E66" i="29" s="1"/>
  <c r="D67" i="17"/>
  <c r="G66" i="17"/>
  <c r="G67" i="17" s="1"/>
  <c r="G68" i="17" s="1"/>
  <c r="G70" i="17" s="1"/>
  <c r="G44" i="17"/>
  <c r="H90" i="1"/>
  <c r="J44" i="10"/>
  <c r="I44" i="17"/>
  <c r="H68" i="27" l="1"/>
  <c r="H66" i="27"/>
  <c r="H31" i="17"/>
  <c r="G85" i="17"/>
  <c r="G84" i="1" s="1"/>
  <c r="F87" i="17"/>
  <c r="F85" i="1" s="1"/>
  <c r="G68" i="29"/>
  <c r="G49" i="29" s="1"/>
  <c r="G38" i="1"/>
  <c r="G83" i="17"/>
  <c r="H65" i="1"/>
  <c r="H11" i="1" s="1"/>
  <c r="E85" i="17"/>
  <c r="E84" i="1" s="1"/>
  <c r="D68" i="17"/>
  <c r="K24" i="1"/>
  <c r="K27" i="1"/>
  <c r="K25" i="1"/>
  <c r="K26" i="1"/>
  <c r="K28" i="1"/>
  <c r="K23" i="1"/>
  <c r="H27" i="1"/>
  <c r="H16" i="1"/>
  <c r="H15" i="1"/>
  <c r="H26" i="1"/>
  <c r="H24" i="1"/>
  <c r="H18" i="1"/>
  <c r="H21" i="1"/>
  <c r="H25" i="1"/>
  <c r="H17" i="1"/>
  <c r="H13" i="1"/>
  <c r="K15" i="1"/>
  <c r="H19" i="1"/>
  <c r="H22" i="1"/>
  <c r="H28" i="1"/>
  <c r="K21" i="1"/>
  <c r="H23" i="1"/>
  <c r="K17" i="1"/>
  <c r="K19" i="1"/>
  <c r="K18" i="1"/>
  <c r="K16" i="1"/>
  <c r="H14" i="1"/>
  <c r="K14" i="1"/>
  <c r="H20" i="1"/>
  <c r="K13" i="1"/>
  <c r="K20" i="1"/>
  <c r="J45" i="10"/>
  <c r="I83" i="17"/>
  <c r="H70" i="27" l="1"/>
  <c r="H73" i="27"/>
  <c r="H91" i="1" s="1"/>
  <c r="K38" i="1" s="1"/>
  <c r="I46" i="29"/>
  <c r="H72" i="27"/>
  <c r="H75" i="27" s="1"/>
  <c r="H40" i="17"/>
  <c r="H66" i="17" s="1"/>
  <c r="H34" i="17"/>
  <c r="G87" i="17"/>
  <c r="G85" i="1" s="1"/>
  <c r="H68" i="29"/>
  <c r="H69" i="29" s="1"/>
  <c r="G69" i="29"/>
  <c r="G70" i="29" s="1"/>
  <c r="H66" i="29"/>
  <c r="K65" i="1"/>
  <c r="K11" i="1"/>
  <c r="F30" i="1"/>
  <c r="E87" i="17"/>
  <c r="E85" i="1" s="1"/>
  <c r="F68" i="29"/>
  <c r="D70" i="17"/>
  <c r="G30" i="1"/>
  <c r="E67" i="29"/>
  <c r="H44" i="17" l="1"/>
  <c r="J44" i="17" s="1"/>
  <c r="H38" i="1"/>
  <c r="H64" i="17"/>
  <c r="H77" i="27"/>
  <c r="H41" i="1"/>
  <c r="K42" i="1"/>
  <c r="K44" i="1"/>
  <c r="H54" i="1"/>
  <c r="H49" i="1"/>
  <c r="K41" i="1"/>
  <c r="K52" i="1"/>
  <c r="H45" i="1"/>
  <c r="K48" i="1"/>
  <c r="K46" i="1"/>
  <c r="H43" i="1"/>
  <c r="H46" i="1"/>
  <c r="K50" i="1"/>
  <c r="H55" i="1"/>
  <c r="H47" i="1"/>
  <c r="H52" i="1"/>
  <c r="K40" i="1"/>
  <c r="K45" i="1"/>
  <c r="K51" i="1"/>
  <c r="H42" i="1"/>
  <c r="K47" i="1"/>
  <c r="H51" i="1"/>
  <c r="H50" i="1"/>
  <c r="K55" i="1"/>
  <c r="K43" i="1"/>
  <c r="H44" i="1"/>
  <c r="K54" i="1"/>
  <c r="H48" i="1"/>
  <c r="K53" i="1"/>
  <c r="H53" i="1"/>
  <c r="H40" i="1"/>
  <c r="H49" i="29"/>
  <c r="H67" i="29"/>
  <c r="H70" i="29" s="1"/>
  <c r="F69" i="29"/>
  <c r="F49" i="29"/>
  <c r="I70" i="17"/>
  <c r="D85" i="17"/>
  <c r="D84" i="1" s="1"/>
  <c r="F57" i="1"/>
  <c r="H83" i="17" l="1"/>
  <c r="I66" i="29" s="1"/>
  <c r="I67" i="29" s="1"/>
  <c r="H71" i="17"/>
  <c r="J71" i="17" s="1"/>
  <c r="H67" i="17"/>
  <c r="H68" i="17" s="1"/>
  <c r="H70" i="17" s="1"/>
  <c r="G57" i="1"/>
  <c r="F70" i="29"/>
  <c r="D87" i="17"/>
  <c r="D85" i="1" s="1"/>
  <c r="I85" i="17"/>
  <c r="E68" i="29"/>
  <c r="J83" i="17" l="1"/>
  <c r="J70" i="17"/>
  <c r="H85" i="17"/>
  <c r="E57" i="1"/>
  <c r="E30" i="1"/>
  <c r="E69" i="29"/>
  <c r="E49" i="29"/>
  <c r="I87" i="17"/>
  <c r="H84" i="1" l="1"/>
  <c r="H30" i="1" s="1"/>
  <c r="J85" i="17"/>
  <c r="I68" i="29"/>
  <c r="H87" i="17"/>
  <c r="E70" i="29"/>
  <c r="I69" i="29" l="1"/>
  <c r="I70" i="29" s="1"/>
  <c r="I49" i="29"/>
  <c r="H85" i="1"/>
  <c r="K85" i="1" s="1"/>
  <c r="J87" i="17"/>
  <c r="D30" i="1"/>
  <c r="J30" i="1"/>
  <c r="J84" i="1"/>
  <c r="K84" i="1"/>
  <c r="K30" i="1"/>
  <c r="H57" i="1" l="1"/>
  <c r="J57" i="1"/>
  <c r="J85" i="1"/>
  <c r="D57" i="1"/>
  <c r="K57" i="1"/>
  <c r="H197" i="2" l="1"/>
  <c r="G197" i="2"/>
  <c r="F197" i="2"/>
  <c r="G15" i="2"/>
  <c r="G19" i="2" s="1"/>
  <c r="G41" i="2" s="1"/>
  <c r="E49" i="2"/>
  <c r="E53" i="2" s="1"/>
  <c r="E70" i="2" s="1"/>
  <c r="H15" i="2"/>
  <c r="H19" i="2" s="1"/>
  <c r="H41" i="2" s="1"/>
  <c r="F49" i="2"/>
  <c r="F54" i="2" s="1"/>
  <c r="F71" i="2" s="1"/>
  <c r="G49" i="2"/>
  <c r="G53" i="2" s="1"/>
  <c r="G70" i="2" s="1"/>
  <c r="H49" i="2"/>
  <c r="H54" i="2" s="1"/>
  <c r="H71" i="2" s="1"/>
  <c r="J14" i="2"/>
  <c r="D15" i="2"/>
  <c r="I14" i="2"/>
  <c r="J13" i="2"/>
  <c r="D197" i="2"/>
  <c r="D198" i="2"/>
  <c r="I13" i="2"/>
  <c r="E197" i="2"/>
  <c r="E198" i="2"/>
  <c r="J47" i="2"/>
  <c r="I47" i="2"/>
  <c r="D49" i="2"/>
  <c r="J48" i="2"/>
  <c r="I48" i="2"/>
  <c r="E15" i="2"/>
  <c r="F15" i="2"/>
  <c r="G54" i="2" l="1"/>
  <c r="G71" i="2" s="1"/>
  <c r="G72" i="2" s="1"/>
  <c r="G20" i="2"/>
  <c r="G42" i="2" s="1"/>
  <c r="H20" i="2"/>
  <c r="H42" i="2" s="1"/>
  <c r="H43" i="2" s="1"/>
  <c r="F53" i="2"/>
  <c r="F70" i="2" s="1"/>
  <c r="F72" i="2" s="1"/>
  <c r="I49" i="2"/>
  <c r="H53" i="2"/>
  <c r="H70" i="2" s="1"/>
  <c r="H101" i="2" s="1"/>
  <c r="E54" i="2"/>
  <c r="E71" i="2" s="1"/>
  <c r="E72" i="2" s="1"/>
  <c r="J49" i="2"/>
  <c r="D54" i="2"/>
  <c r="D53" i="2"/>
  <c r="G101" i="2"/>
  <c r="I15" i="2"/>
  <c r="D20" i="2"/>
  <c r="D19" i="2"/>
  <c r="J15" i="2"/>
  <c r="F19" i="2"/>
  <c r="F41" i="2" s="1"/>
  <c r="F20" i="2"/>
  <c r="F42" i="2" s="1"/>
  <c r="F102" i="2" s="1"/>
  <c r="F66" i="1" s="1"/>
  <c r="E20" i="2"/>
  <c r="E42" i="2" s="1"/>
  <c r="E19" i="2"/>
  <c r="E41" i="2" s="1"/>
  <c r="G102" i="2" l="1"/>
  <c r="G66" i="1" s="1"/>
  <c r="G43" i="2"/>
  <c r="H72" i="2"/>
  <c r="H102" i="2"/>
  <c r="H66" i="1" s="1"/>
  <c r="H83" i="1" s="1"/>
  <c r="E102" i="2"/>
  <c r="E66" i="1" s="1"/>
  <c r="E39" i="1" s="1"/>
  <c r="G103" i="2"/>
  <c r="E43" i="2"/>
  <c r="E101" i="2"/>
  <c r="F101" i="2"/>
  <c r="F103" i="2" s="1"/>
  <c r="F43" i="2"/>
  <c r="J53" i="2"/>
  <c r="D70" i="2"/>
  <c r="I53" i="2"/>
  <c r="F12" i="1"/>
  <c r="F39" i="1"/>
  <c r="J19" i="2"/>
  <c r="D41" i="2"/>
  <c r="I19" i="2"/>
  <c r="J54" i="2"/>
  <c r="D71" i="2"/>
  <c r="I54" i="2"/>
  <c r="D42" i="2"/>
  <c r="J20" i="2"/>
  <c r="I20" i="2"/>
  <c r="G12" i="1"/>
  <c r="G29" i="1" s="1"/>
  <c r="G39" i="1"/>
  <c r="G56" i="1" s="1"/>
  <c r="G83" i="1"/>
  <c r="H39" i="1" l="1"/>
  <c r="H56" i="1" s="1"/>
  <c r="H12" i="1"/>
  <c r="H29" i="1" s="1"/>
  <c r="H103" i="2"/>
  <c r="E103" i="2"/>
  <c r="E12" i="1"/>
  <c r="I71" i="2"/>
  <c r="J71" i="2"/>
  <c r="D72" i="2"/>
  <c r="I70" i="2"/>
  <c r="J70" i="2"/>
  <c r="D101" i="2"/>
  <c r="D43" i="2"/>
  <c r="I41" i="2"/>
  <c r="J41" i="2"/>
  <c r="I42" i="2"/>
  <c r="J42" i="2"/>
  <c r="D102" i="2"/>
  <c r="I43" i="2" l="1"/>
  <c r="J43" i="2"/>
  <c r="D103" i="2"/>
  <c r="I101" i="2"/>
  <c r="J101" i="2"/>
  <c r="I102" i="2"/>
  <c r="J102" i="2"/>
  <c r="D66" i="1"/>
  <c r="I72" i="2"/>
  <c r="J72" i="2"/>
  <c r="J66" i="1" l="1"/>
  <c r="K66" i="1"/>
  <c r="D83" i="1"/>
  <c r="J12" i="1"/>
  <c r="D12" i="1"/>
  <c r="D29" i="1" s="1"/>
  <c r="D39" i="1"/>
  <c r="D56" i="1" s="1"/>
  <c r="J39" i="1"/>
  <c r="K12" i="1"/>
  <c r="K39" i="1"/>
  <c r="J103" i="2"/>
  <c r="I103" i="2"/>
  <c r="E33" i="29" l="1"/>
  <c r="F36" i="29" l="1"/>
  <c r="G36" i="29" l="1"/>
  <c r="F40" i="29"/>
  <c r="F102" i="4"/>
  <c r="F106" i="4" s="1"/>
  <c r="F48" i="29"/>
  <c r="F50" i="29" s="1"/>
  <c r="F52" i="29" s="1"/>
  <c r="F62" i="29" s="1"/>
  <c r="E86" i="1" s="1"/>
  <c r="F60" i="29" l="1"/>
  <c r="F64" i="29" s="1"/>
  <c r="E87" i="1" s="1"/>
  <c r="E31" i="1"/>
  <c r="G40" i="29"/>
  <c r="G102" i="4"/>
  <c r="G48" i="29"/>
  <c r="G50" i="29" s="1"/>
  <c r="E58" i="1" l="1"/>
  <c r="G60" i="29"/>
  <c r="G52" i="29"/>
  <c r="G62" i="29" s="1"/>
  <c r="G103" i="4"/>
  <c r="G106" i="4"/>
  <c r="G107" i="4" s="1"/>
  <c r="F86" i="1" l="1"/>
  <c r="G64" i="29"/>
  <c r="F87" i="1" s="1"/>
  <c r="F31" i="1" l="1"/>
  <c r="F58" i="1"/>
  <c r="F67" i="4" l="1"/>
  <c r="F80" i="4" s="1"/>
  <c r="F92" i="4" s="1"/>
  <c r="F105" i="4" s="1"/>
  <c r="F107" i="4" s="1"/>
  <c r="F36" i="4"/>
  <c r="E77" i="4"/>
  <c r="E101" i="4" l="1"/>
  <c r="F101" i="4"/>
  <c r="F103" i="4" s="1"/>
  <c r="E67" i="4"/>
  <c r="E80" i="4" s="1"/>
  <c r="E92" i="4" s="1"/>
  <c r="E105" i="4" s="1"/>
  <c r="E78" i="4"/>
  <c r="E81" i="4"/>
  <c r="E36" i="4"/>
  <c r="E88" i="4"/>
  <c r="E90" i="4" s="1"/>
  <c r="E20" i="29" l="1"/>
  <c r="E36" i="29" s="1"/>
  <c r="E93" i="4"/>
  <c r="E40" i="29" l="1"/>
  <c r="E60" i="29" s="1"/>
  <c r="E48" i="29"/>
  <c r="E50" i="29" s="1"/>
  <c r="E52" i="29" s="1"/>
  <c r="E62" i="29" s="1"/>
  <c r="D86" i="1" s="1"/>
  <c r="E102" i="4"/>
  <c r="E103" i="4" s="1"/>
  <c r="E106" i="4" l="1"/>
  <c r="E107" i="4" s="1"/>
  <c r="J86" i="1"/>
  <c r="D31" i="1"/>
  <c r="D32" i="1" s="1"/>
  <c r="J31" i="1"/>
  <c r="E64" i="29"/>
  <c r="D87" i="1" s="1"/>
  <c r="J87" i="1" s="1"/>
  <c r="J58" i="1" l="1"/>
  <c r="D58" i="1"/>
  <c r="D59" i="1" s="1"/>
  <c r="D88" i="1"/>
  <c r="H36" i="29" l="1"/>
  <c r="F55" i="4"/>
  <c r="F57" i="4" s="1"/>
  <c r="F59" i="4" s="1"/>
  <c r="H48" i="29" l="1"/>
  <c r="H50" i="29" s="1"/>
  <c r="H52" i="29" s="1"/>
  <c r="H62" i="29" s="1"/>
  <c r="G86" i="1" s="1"/>
  <c r="G31" i="1" s="1"/>
  <c r="G32" i="1" s="1"/>
  <c r="H40" i="29"/>
  <c r="H102" i="4"/>
  <c r="E55" i="4"/>
  <c r="E57" i="4" s="1"/>
  <c r="E59" i="4" s="1"/>
  <c r="H60" i="29" l="1"/>
  <c r="H64" i="29" s="1"/>
  <c r="G87" i="1" s="1"/>
  <c r="H106" i="4"/>
  <c r="H107" i="4" s="1"/>
  <c r="H103" i="4"/>
  <c r="G58" i="1" l="1"/>
  <c r="G59" i="1" s="1"/>
  <c r="G88" i="1"/>
  <c r="H54" i="5"/>
  <c r="G54" i="5"/>
  <c r="F55" i="5" l="1"/>
  <c r="F76" i="1" s="1"/>
  <c r="J51" i="5"/>
  <c r="I51" i="5"/>
  <c r="D54" i="5"/>
  <c r="F49" i="1" l="1"/>
  <c r="F56" i="1" s="1"/>
  <c r="F59" i="1" s="1"/>
  <c r="F22" i="1"/>
  <c r="F29" i="1" s="1"/>
  <c r="F32" i="1" s="1"/>
  <c r="F83" i="1"/>
  <c r="F88" i="1" s="1"/>
  <c r="F54" i="5"/>
  <c r="I53" i="5" l="1"/>
  <c r="J53" i="5"/>
  <c r="E55" i="5"/>
  <c r="E54" i="5"/>
  <c r="I55" i="5" l="1"/>
  <c r="J55" i="5"/>
  <c r="E76" i="1"/>
  <c r="I54" i="5"/>
  <c r="J54" i="5"/>
  <c r="J76" i="1" l="1"/>
  <c r="J83" i="1" s="1"/>
  <c r="J88" i="1" s="1"/>
  <c r="K76" i="1"/>
  <c r="K83" i="1" s="1"/>
  <c r="E22" i="1"/>
  <c r="E29" i="1" s="1"/>
  <c r="E32" i="1" s="1"/>
  <c r="J22" i="1"/>
  <c r="J29" i="1" s="1"/>
  <c r="J32" i="1" s="1"/>
  <c r="E49" i="1"/>
  <c r="E56" i="1" s="1"/>
  <c r="E59" i="1" s="1"/>
  <c r="J49" i="1"/>
  <c r="J56" i="1" s="1"/>
  <c r="J59" i="1" s="1"/>
  <c r="K49" i="1"/>
  <c r="K22" i="1"/>
  <c r="E83" i="1"/>
  <c r="E88" i="1" s="1"/>
  <c r="K56" i="1" l="1"/>
  <c r="K29" i="1"/>
  <c r="I36" i="29" l="1"/>
  <c r="I102" i="4" l="1"/>
  <c r="I40" i="29"/>
  <c r="I48" i="29"/>
  <c r="I50" i="29" s="1"/>
  <c r="I52" i="29" s="1"/>
  <c r="I62" i="29" s="1"/>
  <c r="H86" i="1" s="1"/>
  <c r="I60" i="29" l="1"/>
  <c r="I64" i="29" s="1"/>
  <c r="H87" i="1" s="1"/>
  <c r="K87" i="1" s="1"/>
  <c r="I103" i="4"/>
  <c r="I106" i="4"/>
  <c r="I107" i="4" s="1"/>
  <c r="H31" i="1"/>
  <c r="H32" i="1" s="1"/>
  <c r="K86" i="1"/>
  <c r="K31" i="1"/>
  <c r="K58" i="1" l="1"/>
  <c r="K59" i="1" s="1"/>
  <c r="H88" i="1"/>
  <c r="K32" i="1"/>
  <c r="H58" i="1"/>
  <c r="H59" i="1" s="1"/>
  <c r="K88" i="1"/>
</calcChain>
</file>

<file path=xl/sharedStrings.xml><?xml version="1.0" encoding="utf-8"?>
<sst xmlns="http://schemas.openxmlformats.org/spreadsheetml/2006/main" count="1871" uniqueCount="831">
  <si>
    <t>Regulatory Financial Performance Report</t>
  </si>
  <si>
    <t xml:space="preserve">                           </t>
  </si>
  <si>
    <t>RIIO-2 start date (enter 2022 for 2021-22)</t>
  </si>
  <si>
    <t>Licensee</t>
  </si>
  <si>
    <t>ESO</t>
  </si>
  <si>
    <t>Input cells</t>
  </si>
  <si>
    <t>Sector</t>
  </si>
  <si>
    <t>Totals cells (of formula within worksheet)</t>
  </si>
  <si>
    <t>Reporting Year:
(e.g.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</si>
  <si>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</si>
  <si>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</si>
  <si>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</si>
  <si>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</si>
  <si>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</si>
  <si>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</si>
  <si>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</si>
  <si>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</si>
  <si>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</si>
  <si>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Materiality £m</t>
  </si>
  <si>
    <t>ED</t>
  </si>
  <si>
    <t>£m 20/21</t>
  </si>
  <si>
    <t>Sharing Factor</t>
  </si>
  <si>
    <t>ET</t>
  </si>
  <si>
    <t>£m 18/19</t>
  </si>
  <si>
    <t>Notional Gearing</t>
  </si>
  <si>
    <t>GD</t>
  </si>
  <si>
    <t>Price basis</t>
  </si>
  <si>
    <t>GT</t>
  </si>
  <si>
    <t>Deadband threshold for materiality checks for use in R8a (Rows 44-93)</t>
  </si>
  <si>
    <t>Deadband threshold for use in R8a (Row 95)</t>
  </si>
  <si>
    <t>Combined RPI-CPIH price index</t>
  </si>
  <si>
    <t>Actual / Forecast index</t>
  </si>
  <si>
    <t>Year end</t>
  </si>
  <si>
    <t>Reporting Year</t>
  </si>
  <si>
    <t>Financial Year Average RPI - CPIH (PIt)</t>
  </si>
  <si>
    <t>Combined RPI-CPIH price index (financial year end)</t>
  </si>
  <si>
    <t>Corporate Tax</t>
  </si>
  <si>
    <t>Consumer Prices Index incl. housing costs (financial year average)</t>
  </si>
  <si>
    <t>Long term CPIH inflation forecast</t>
  </si>
  <si>
    <t>LTCPIHt</t>
  </si>
  <si>
    <t>RPI-CPIH real to nominal prices CF</t>
  </si>
  <si>
    <t>1 year change in Fin Year Average RPI-CPIH</t>
  </si>
  <si>
    <t>Combined real to nominal prices conversion factor (financial year end)</t>
  </si>
  <si>
    <t>Allowed cost of debt %</t>
  </si>
  <si>
    <t>WPD</t>
  </si>
  <si>
    <t>ED - excluding WPD</t>
  </si>
  <si>
    <t>SHET</t>
  </si>
  <si>
    <t>ET - excluding SHET</t>
  </si>
  <si>
    <t>GD with Uplift</t>
  </si>
  <si>
    <t>Allowed cost of equity %</t>
  </si>
  <si>
    <t>ED2</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</si>
  <si>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</si>
  <si>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</si>
  <si>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</si>
  <si>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</si>
  <si>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</si>
  <si>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</si>
  <si>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</si>
  <si>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</si>
  <si>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</si>
  <si>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</si>
  <si>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</si>
  <si>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</si>
  <si>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</si>
  <si>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</si>
  <si>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</si>
  <si>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UKPN-EPN</t>
  </si>
  <si>
    <t>UKPN-LPN</t>
  </si>
  <si>
    <t>UKPN-SPN</t>
  </si>
  <si>
    <t>SPD</t>
  </si>
  <si>
    <t>SPMW</t>
  </si>
  <si>
    <t>SSEH</t>
  </si>
  <si>
    <t>SSES</t>
  </si>
  <si>
    <t>WPD-EMID</t>
  </si>
  <si>
    <t>WPD-WMID</t>
  </si>
  <si>
    <t>WPD-SWALES</t>
  </si>
  <si>
    <t>WPD-SWEST</t>
  </si>
  <si>
    <t>Cadent-EOE</t>
  </si>
  <si>
    <t>Cadent-London</t>
  </si>
  <si>
    <t>Cadent-WM</t>
  </si>
  <si>
    <t>Cadent-NW</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</si>
  <si>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</si>
  <si>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</si>
  <si>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</si>
  <si>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</si>
  <si>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</si>
  <si>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</si>
  <si>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</si>
  <si>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</si>
  <si>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</si>
  <si>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</si>
  <si>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</si>
  <si>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</si>
  <si>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Broad measure of customer service</t>
  </si>
  <si>
    <t>Interruptions-related quality of service</t>
  </si>
  <si>
    <t>Incentive on connections engagement</t>
  </si>
  <si>
    <t>Time to Connect Incentive</t>
  </si>
  <si>
    <t>Losses discretionary reward scheme</t>
  </si>
  <si>
    <t>Customer Satisfaction Survey ODI - (SpC 4.2)</t>
  </si>
  <si>
    <t>Complaints metric ODI - (SpC 4.3)</t>
  </si>
  <si>
    <t>Unplanned Interruption Mean Duration ODI [NGN, SGN and WWU] - (SpC 4.5)</t>
  </si>
  <si>
    <t>Unplanned Interruption Mean Duration ODI [Cadent only]- (SpC 4.6)</t>
  </si>
  <si>
    <t>Shrinkage Management ODI- (SpC 4.4)</t>
  </si>
  <si>
    <t>Collaborative streetworks ODI [Cadent Lon &amp; EoE, SGN So only]- (SpC 4.7)</t>
  </si>
  <si>
    <t>Customer satisfaction survey ODI- (SpC 4.2)</t>
  </si>
  <si>
    <t>Environmental scorecard ODI- (SpC 4.3)</t>
  </si>
  <si>
    <t>Energy not supplied ODI - (SpC 4.2)</t>
  </si>
  <si>
    <t>Reporting &amp; Incentive Arrangements (ESORIt) - SpC 4.3</t>
  </si>
  <si>
    <t>Insulation And Interruption Gas emissions ODI - (SpC 4.3)</t>
  </si>
  <si>
    <t>Timely Connections ODI - (SpC 4.4)</t>
  </si>
  <si>
    <t>Quality of connections satisfaction survey ODI - (SpC 4.5)</t>
  </si>
  <si>
    <t>SO-TO Optimisation ODI - (SpC 4.7)</t>
  </si>
  <si>
    <t>Environmental scorecard ODI - (SpC 4.6)</t>
  </si>
  <si>
    <t>Other Revenue Allowances (ORA) - Innovation and Incentives only, for each sector used to populate R4</t>
  </si>
  <si>
    <t>Input for R4 - Other Revenue Allowances</t>
  </si>
  <si>
    <t>RIIO-2 network innovation allowance  - (SpC 5.2)</t>
  </si>
  <si>
    <t>Carry-over Network Innovation Allowance - (SpC 5.3)</t>
  </si>
  <si>
    <t>Network Innovation Allowance- (SpC 5.2)</t>
  </si>
  <si>
    <t>Carry Over RIIO-1 Network Innovation Allowance- (SpC 5.3)</t>
  </si>
  <si>
    <t>Strategic Innovation Fund- (SpC 5.7)</t>
  </si>
  <si>
    <t>Constraint management incentive revenue- (SpC 5.5)</t>
  </si>
  <si>
    <t>Residual balancing incentive - (SpC 5.6)</t>
  </si>
  <si>
    <t>Quality of demand forecasting incentive - (SpC 5.6)</t>
  </si>
  <si>
    <t>Greenhouse gas emissions incentive- (SpC 5.6)</t>
  </si>
  <si>
    <t>Maintenance incentive - (SpC 5.6)</t>
  </si>
  <si>
    <t>Carry Over RIIO-1 Network Innovation Allowance - (SpC 5.3)</t>
  </si>
  <si>
    <t>Constraint management incentive revenue - (SpC 5.5)</t>
  </si>
  <si>
    <t>Greenhouse gas emissions incentive - (SpC 5.6)</t>
  </si>
  <si>
    <t>RIIO-2 network innovation allowance - (SpC 4.6)</t>
  </si>
  <si>
    <t>RIIO-2 network innovation allowance - (SpC 5.2)</t>
  </si>
  <si>
    <t>Carry-over Network Innovation Allowance - (SpC 4.7)</t>
  </si>
  <si>
    <t>Data validation lists for F3-F6 debt tabs</t>
  </si>
  <si>
    <t>sector</t>
  </si>
  <si>
    <t>licensee</t>
  </si>
  <si>
    <t>category</t>
  </si>
  <si>
    <t>Rank</t>
  </si>
  <si>
    <t>Type</t>
  </si>
  <si>
    <t>Maturity Type</t>
  </si>
  <si>
    <t>Core Debt/ Liquidity</t>
  </si>
  <si>
    <t>identifier</t>
  </si>
  <si>
    <t>Pricing Date</t>
  </si>
  <si>
    <t>issue_date</t>
  </si>
  <si>
    <t>maturity_date</t>
  </si>
  <si>
    <t>Early repayment date</t>
  </si>
  <si>
    <t>1st Call Date</t>
  </si>
  <si>
    <t>Currency</t>
  </si>
  <si>
    <t>Amount Issued on Issue Date/ Max loan amount</t>
  </si>
  <si>
    <t>Current Amount Outstanding</t>
  </si>
  <si>
    <t>Amount Issued on Issue Date/ Max loan amount_GBP equiv</t>
  </si>
  <si>
    <t>Current Amount Outstanding_GBP equiv</t>
  </si>
  <si>
    <t>Amount for Use</t>
  </si>
  <si>
    <t>Coupon/ Margin</t>
  </si>
  <si>
    <t>Issue Price</t>
  </si>
  <si>
    <t>Yield to Maturity at Issue Date</t>
  </si>
  <si>
    <t>Rate for use</t>
  </si>
  <si>
    <t>floating_ref_rate</t>
  </si>
  <si>
    <t>inflation_ref_rate</t>
  </si>
  <si>
    <t>Inflation_lag</t>
  </si>
  <si>
    <t>Inflation_Base_Index</t>
  </si>
  <si>
    <t>Commitment Fee</t>
  </si>
  <si>
    <t>LT Issue Rating at Issue Date (S&amp;P/Moodys/Fitch)</t>
  </si>
  <si>
    <t>Current LT Issue Rating (S&amp;P/Moodys/Fitch)</t>
  </si>
  <si>
    <t>Counterparty</t>
  </si>
  <si>
    <t>Transaction expenses</t>
  </si>
  <si>
    <t>Description</t>
  </si>
  <si>
    <t>If amortising, profile submitted?</t>
  </si>
  <si>
    <t>Split flag</t>
  </si>
  <si>
    <t>Bond</t>
  </si>
  <si>
    <t>Senior</t>
  </si>
  <si>
    <t>Fixed</t>
  </si>
  <si>
    <t>Bullet</t>
  </si>
  <si>
    <t>Core debt</t>
  </si>
  <si>
    <t>GBP</t>
  </si>
  <si>
    <t>LIBOR 1 Month</t>
  </si>
  <si>
    <t>RPI</t>
  </si>
  <si>
    <t>Y</t>
  </si>
  <si>
    <t>SGN Scot</t>
  </si>
  <si>
    <t>External Loan</t>
  </si>
  <si>
    <t>Subordinated</t>
  </si>
  <si>
    <t>Floating</t>
  </si>
  <si>
    <t>Bullet 3m par call</t>
  </si>
  <si>
    <t>Liquidity</t>
  </si>
  <si>
    <t>USD</t>
  </si>
  <si>
    <t>LIBOR 3 Month</t>
  </si>
  <si>
    <t>CPI</t>
  </si>
  <si>
    <t>N</t>
  </si>
  <si>
    <t>SGN South</t>
  </si>
  <si>
    <t>Private Placement</t>
  </si>
  <si>
    <t>Class A</t>
  </si>
  <si>
    <t>Inflation Linked</t>
  </si>
  <si>
    <t>Amortising</t>
  </si>
  <si>
    <t>CAD</t>
  </si>
  <si>
    <t>LIBOR 6 Month</t>
  </si>
  <si>
    <t>CPIH</t>
  </si>
  <si>
    <t>N/A</t>
  </si>
  <si>
    <t>Cadent</t>
  </si>
  <si>
    <t>Group company loan (licensee lender)</t>
  </si>
  <si>
    <t>Class B</t>
  </si>
  <si>
    <t>Revolving</t>
  </si>
  <si>
    <t>EUR</t>
  </si>
  <si>
    <t>LIBOR 12 Month</t>
  </si>
  <si>
    <t>Group company loan (licensee borrower)</t>
  </si>
  <si>
    <t>Super Senior</t>
  </si>
  <si>
    <t>Callable</t>
  </si>
  <si>
    <t>NOK</t>
  </si>
  <si>
    <t>SONIA</t>
  </si>
  <si>
    <t>Group Loan from Finco back to back with finco bond issue</t>
  </si>
  <si>
    <t>Other</t>
  </si>
  <si>
    <t>AUD</t>
  </si>
  <si>
    <t>1 day GBP SONIA</t>
  </si>
  <si>
    <t>Swap Pay Leg</t>
  </si>
  <si>
    <t>HKD</t>
  </si>
  <si>
    <t>NGET</t>
  </si>
  <si>
    <t>Swap Receive Leg</t>
  </si>
  <si>
    <t>JPY</t>
  </si>
  <si>
    <t>NGGT</t>
  </si>
  <si>
    <t>Swap pay leg – finco back to back</t>
  </si>
  <si>
    <t>Swap receive leg – finco back to back</t>
  </si>
  <si>
    <t>UKPN EPN</t>
  </si>
  <si>
    <t>UKPN LPN</t>
  </si>
  <si>
    <t>UKPN SPN</t>
  </si>
  <si>
    <t>WPD EMID</t>
  </si>
  <si>
    <t>WPD SWALES</t>
  </si>
  <si>
    <t>WPD SWEST</t>
  </si>
  <si>
    <t>WPD WMID</t>
  </si>
  <si>
    <t>Example</t>
  </si>
  <si>
    <t>Only data validation options to be input above this line</t>
  </si>
  <si>
    <t>Deadband levels for Tax Reconciliation materiality check</t>
  </si>
  <si>
    <t>Table1</t>
  </si>
  <si>
    <t>Deadband values from PCFM - for information purposes (18/19 prices)</t>
  </si>
  <si>
    <t>Table 2</t>
  </si>
  <si>
    <t>Grossed-up deadband values in Nominal terms - for use in R8a (Rows 46-93)</t>
  </si>
  <si>
    <t>Table3</t>
  </si>
  <si>
    <t>Deadband values from PCFM in Nominal terms - for use in R8a for Corporation Tax Charge (Row 95)</t>
  </si>
  <si>
    <t>Version control</t>
  </si>
  <si>
    <t xml:space="preserve"> </t>
  </si>
  <si>
    <t>Version:</t>
  </si>
  <si>
    <t>Submission</t>
  </si>
  <si>
    <t>Date submitted</t>
  </si>
  <si>
    <t>Changes</t>
  </si>
  <si>
    <t>Submission 1</t>
  </si>
  <si>
    <t>31st August 2022</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</si>
  <si>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</si>
  <si>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</si>
  <si>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</si>
  <si>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</si>
  <si>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</si>
  <si>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</si>
  <si>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</si>
  <si>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</si>
  <si>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</si>
  <si>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</si>
  <si>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</si>
  <si>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</si>
  <si>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</si>
  <si>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</si>
  <si>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</si>
  <si>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</si>
  <si>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</si>
  <si>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</si>
  <si>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</si>
  <si>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</si>
  <si>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</si>
  <si>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</si>
  <si>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F3 - Fixed Rate Debt</t>
  </si>
  <si>
    <t>F4 - Floating Rate Debt</t>
  </si>
  <si>
    <t>F5 - Inflation Linked Debt</t>
  </si>
  <si>
    <t>F6 - Debt Dataset</t>
  </si>
  <si>
    <t>I1 - Universal Data</t>
  </si>
  <si>
    <t>I2 - Monthly Inflation</t>
  </si>
  <si>
    <t>Change log</t>
  </si>
  <si>
    <t>Version</t>
  </si>
  <si>
    <t>Table Reference</t>
  </si>
  <si>
    <t>Changes made to RFPR template</t>
  </si>
  <si>
    <t>Raised By</t>
  </si>
  <si>
    <t>V2.0</t>
  </si>
  <si>
    <t>R2 - row 24 (RRt)</t>
  </si>
  <si>
    <t>Changed the description to add "per latest PCFM" for more clarity. Guidance document has also been amended.</t>
  </si>
  <si>
    <t>Ofgem</t>
  </si>
  <si>
    <t>R8 - Row 21</t>
  </si>
  <si>
    <t>Corrected cell references in formula</t>
  </si>
  <si>
    <t>R3 - row 116, 121, 133, 142</t>
  </si>
  <si>
    <t>Changed the description to '[Input description, add additional rows as required]'</t>
  </si>
  <si>
    <t>R3 - Rows 36 and 37</t>
  </si>
  <si>
    <t xml:space="preserve">Copied and rolled-over D36:D37 formula into future years </t>
  </si>
  <si>
    <t xml:space="preserve">R1 - J22:K28 and J49:K55 </t>
  </si>
  <si>
    <t>Corrected cell references in formula for 'cumulative' and RIIO-2 period'</t>
  </si>
  <si>
    <t>Row 103 formula corrected (was sum now difference)</t>
  </si>
  <si>
    <t>ESO/NGGT(TO)/NGGT(SO)/NGET(TO)</t>
  </si>
  <si>
    <t>R3 - Row 194 &amp;  196</t>
  </si>
  <si>
    <t>Added formula/ corrected cell references in formula</t>
  </si>
  <si>
    <t>ESO/NGGT(TO)/SPT/NGET</t>
  </si>
  <si>
    <t>R1 row 76</t>
  </si>
  <si>
    <t>Formula in J75:K75 dragged down to populate row 76 which was blank.</t>
  </si>
  <si>
    <t>NGGT(SO)</t>
  </si>
  <si>
    <t>R8 Row 21</t>
  </si>
  <si>
    <t>Included if function because top half R8 only completed for actuals on a T+1 basis; therefore if forecast, amount should be zero</t>
  </si>
  <si>
    <t>R3</t>
  </si>
  <si>
    <t>Formula in row 198 amended to compare to row 196 not 194</t>
  </si>
  <si>
    <t>WWU/SPT</t>
  </si>
  <si>
    <t>Formulas in row 5 amended to reflect show that RAV totals in AIP 2021 PCFM are not actuals, therefore flag should remain as forecast until the AIP after the Reg year has passed (as was the case in RIIO-1). For example RAV value in 21/22 AIP for 21/22 was not an actual and therefore the check in row 27 should not be activated until the next regulatory year. AIP 2022 will contain the actual 21/22 RAV value and therefore a check to ensure this matches can be incorporated from 22/23 onwards.</t>
  </si>
  <si>
    <t>5 rows have been added for row 25-29 for the Enduring Value adjustments to Totex performance</t>
  </si>
  <si>
    <t>7 rows have been added for row 139-145 for the opex reconciling adjustments.</t>
  </si>
  <si>
    <t>R9</t>
  </si>
  <si>
    <t>Cells formatted to 3 decimal places  (rows 27 to 65)</t>
  </si>
  <si>
    <t>R8- Tax, rows 64 and 66</t>
  </si>
  <si>
    <t xml:space="preserve">Corrected to add a minus sign in the beginning of the formula </t>
  </si>
  <si>
    <t>Included SIF celll reference in formula</t>
  </si>
  <si>
    <t>F3, F4, F5, F6, I1, I2</t>
  </si>
  <si>
    <t>10/02/2023: Added these tabs into the template. These have been copied in from the propoesd modification to the RFPR published on 1 April 2022. Only changes to formatting and appearance have been made.</t>
  </si>
  <si>
    <t>R5a and R6a</t>
  </si>
  <si>
    <t>10/02/2023: Replaced these tabs with the versions from the proposed modification to the RFPR published on 1 April 2022.  Only changes to formatting and appearance have been made.</t>
  </si>
  <si>
    <t>R5 and R6</t>
  </si>
  <si>
    <t>10/02/2023: Links to R5a and R6a refreshed.</t>
  </si>
  <si>
    <t>Data</t>
  </si>
  <si>
    <r>
      <t xml:space="preserve">10/02/2023: Old R5a &amp; R6a validation lines in </t>
    </r>
    <r>
      <rPr>
        <i/>
        <sz val="10"/>
        <color theme="1"/>
        <rFont val="Verdana"/>
        <family val="2"/>
      </rPr>
      <t xml:space="preserve">Data </t>
    </r>
    <r>
      <rPr>
        <sz val="10"/>
        <color theme="1"/>
        <rFont val="Verdana"/>
        <family val="2"/>
      </rPr>
      <t xml:space="preserve">rows 264-336 deleted and replaced with new validation lines used in the </t>
    </r>
    <r>
      <rPr>
        <i/>
        <sz val="10"/>
        <color theme="1"/>
        <rFont val="Verdana"/>
        <family val="2"/>
      </rPr>
      <t>F6</t>
    </r>
    <r>
      <rPr>
        <sz val="10"/>
        <color theme="1"/>
        <rFont val="Verdana"/>
        <family val="2"/>
      </rPr>
      <t xml:space="preserve"> tab.</t>
    </r>
  </si>
  <si>
    <t>R8, rows 21</t>
  </si>
  <si>
    <t xml:space="preserve">Formula corrected. Logic was not inflating input in 2018/19 prices to nominal values and 2022 tax rate was used for all years. </t>
  </si>
  <si>
    <t>R8, row 34</t>
  </si>
  <si>
    <t xml:space="preserve">Formula corrected. </t>
  </si>
  <si>
    <t>R8a - Cell D16</t>
  </si>
  <si>
    <t>Formula corrected</t>
  </si>
  <si>
    <t>NG</t>
  </si>
  <si>
    <t>R2</t>
  </si>
  <si>
    <t>DA costs have been separated from other operating expenses in R3 - row 124 and 135. Logic in R2 on rows 71,74,77 and 83 has been amended so that DA and non-regulated DA adjustment can be excluded from this section to derive EBITDA. Other necessary changes have also been made to R3 sheet where appropriate. DA costs and non-regulated DA will now be explicitely reflected in next section i.e. rows 83-90.</t>
  </si>
  <si>
    <t>NGGT(SO), NGET, NGN, NGT</t>
  </si>
  <si>
    <t>Amended formula to include "Opening RAV (after transfers)" i.e. row 17 instead of row 15</t>
  </si>
  <si>
    <t xml:space="preserve">Data tab, R4 </t>
  </si>
  <si>
    <t>Amended to add PCFM acronyms/ references and SpCs where applicable</t>
  </si>
  <si>
    <t>NGT</t>
  </si>
  <si>
    <t>Data tab</t>
  </si>
  <si>
    <t>Cell C10, added deadband threshold for sheet R8a, populated from rows 303-331</t>
  </si>
  <si>
    <t xml:space="preserve">Added tables for deadband values per PCFM - rows 303-331 (presentational and grossed-up) in Data tab </t>
  </si>
  <si>
    <t xml:space="preserve">R8a </t>
  </si>
  <si>
    <t>Coulmn M has been inserted for materiality checks (linkage with cell C10 on Data tab)</t>
  </si>
  <si>
    <t>R5-Financing sheet</t>
  </si>
  <si>
    <t>Changed labeling on rows 38,40,44,66,68,70 and 77. Also added a new descriptor on row 81</t>
  </si>
  <si>
    <t>R1 - RORE</t>
  </si>
  <si>
    <t>Updated the formula in cell D84 to =IFERROR('R5 - Financing'!D85,0) and dragged across the remaining years.</t>
  </si>
  <si>
    <t>NGET, NGN</t>
  </si>
  <si>
    <t xml:space="preserve">Updated the formula in cell D85 to =IFERROR('R5 - Financing'!D87,0) and dragged across the remaining years.
</t>
  </si>
  <si>
    <t xml:space="preserve">Updated the formula in cell D86 to =IFERROR('R8 - Tax'!E60,0) and dragged across the remaining years.
</t>
  </si>
  <si>
    <t xml:space="preserve">Updated the formula in cell D87 to =IFERROR('R8 - Tax'!E62,0) and dragged across the remaining years.
</t>
  </si>
  <si>
    <t>Corrected the formula to refer to column H instead of column I with the exception of row 16 which is correctly comparing CT600 against the gross calculated tax allowance.</t>
  </si>
  <si>
    <t>Data tab M304-S332</t>
  </si>
  <si>
    <t>Gross-up calculation for deadband values per PCFM - rows 303-331 (presentational and grossed-up) in Data tab and created linkage with cell C10</t>
  </si>
  <si>
    <t>Data M304-S332</t>
  </si>
  <si>
    <t>Changed values to nominal and grossed up for tax on tax to feed into materiality checks in rows 44-93 in R8a</t>
  </si>
  <si>
    <t>SGN, WWU</t>
  </si>
  <si>
    <t>Data M339- M367</t>
  </si>
  <si>
    <t>Incorporated a new table to change values to nominal that feed into materiality check in row 95 (tax charge)</t>
  </si>
  <si>
    <t>Data tab - Cell C10</t>
  </si>
  <si>
    <t>Added to lookup deadband threshold values from Table 2 (M04-S332) for materiality checks for use in R8a (Rows 44-93)</t>
  </si>
  <si>
    <t>Data tab - Cell C11</t>
  </si>
  <si>
    <t>Added to lookup deadband threshold values from Table 3 (M04-S332) for materiality checks for use in R8a - Tax charge (Row95)</t>
  </si>
  <si>
    <t>Data D273-D274</t>
  </si>
  <si>
    <t>Added in Data tab “Swap pay leg – finco back to back” in D273, and “Swap receive leg – finco back to back” in D274.</t>
  </si>
  <si>
    <t>R8a</t>
  </si>
  <si>
    <t xml:space="preserve">Previous version of Col I and J deleted </t>
  </si>
  <si>
    <t>Deleted materiality checks from row 31 and above as it's not mandatory for licensees to explain those differences</t>
  </si>
  <si>
    <t>Corrected formula in col L to look up correct cell references</t>
  </si>
  <si>
    <t>SPEN, ESO, NGET</t>
  </si>
  <si>
    <t>Removed the word 'turnover' in cells A35, A38 and A41</t>
  </si>
  <si>
    <t>ESO, NGET</t>
  </si>
  <si>
    <t>R8</t>
  </si>
  <si>
    <t xml:space="preserve">Changed the label in cell B11 and description in cell J11 </t>
  </si>
  <si>
    <t>SPEN, ESO</t>
  </si>
  <si>
    <t>Labels are now fomula driven in cells B11 and B45 to include "repex" term only referring to GD2</t>
  </si>
  <si>
    <t>SPEN</t>
  </si>
  <si>
    <t>R8 - Cell J11</t>
  </si>
  <si>
    <t>Comment amended to - "R8 row 11 must match with worksheet R8a row 95 minus regulatory adjustments."</t>
  </si>
  <si>
    <t>V2.1</t>
  </si>
  <si>
    <t>R4</t>
  </si>
  <si>
    <t>Added formulae/ logic to generate cumulative values in col I and J</t>
  </si>
  <si>
    <t>v2.0</t>
  </si>
  <si>
    <t>R6</t>
  </si>
  <si>
    <t>15/06/2023: Added in new section for reconciliation to statutory accounts:
R6 cell B21: row label changed from "Total Debt per Statutory Accounts" to "Total Modelled Debt"
R6 add in thirteen new rows below row 46 ("Closing regulatory net debt including forecast new debt/refinancing". These rows are headed "Conversion from Regulatory (RIIO-2) Definition of Net Debt to Statutory Net Debt"</t>
  </si>
  <si>
    <t>R5a</t>
  </si>
  <si>
    <t>15/06/2023: Added in additional overwrite lines for Debt Interest Expense
R5a add in five new rows below row 53. This adds in five new "Other adjustment (Overwrite)" lines above "Sub Total: "Debt Interest Expense"
R5a row 59 "Sub Total: "Debt Interest Expense" formula amended to incorporate the five new rows. In Column M, changed from "=SUM(M40:M53)" to "=SUM(M40:M58)" and pasted across the row.</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</si>
  <si>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</si>
  <si>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</si>
  <si>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</si>
  <si>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</si>
  <si>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</si>
  <si>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</si>
  <si>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</si>
  <si>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</si>
  <si>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</si>
  <si>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</si>
  <si>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</si>
  <si>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</si>
  <si>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</si>
  <si>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</si>
  <si>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</si>
  <si>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</si>
  <si>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</si>
  <si>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</si>
  <si>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</si>
  <si>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</si>
  <si>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</si>
  <si>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</si>
  <si>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</si>
  <si>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</si>
  <si>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</si>
  <si>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</si>
  <si>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</si>
  <si>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</si>
  <si>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</si>
  <si>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</si>
  <si>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</si>
  <si>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</si>
  <si>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</si>
  <si>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</si>
  <si>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</si>
  <si>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</si>
  <si>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</si>
  <si>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</si>
  <si>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</si>
  <si>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</si>
  <si>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</si>
  <si>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t>
  </si>
  <si>
    <t>Adjusted revenue (as published)</t>
  </si>
  <si>
    <t>Legacy Allowed Revenue</t>
  </si>
  <si>
    <t>K Correction Factor</t>
  </si>
  <si>
    <t>Allowed Network Revenue</t>
  </si>
  <si>
    <t>(Under) / Over recovery</t>
  </si>
  <si>
    <t>Collected Regulated Network Revenue (per latest PCFM)</t>
  </si>
  <si>
    <t>RRt</t>
  </si>
  <si>
    <t>Other Turnover Items</t>
  </si>
  <si>
    <t>Total Other Turnover Items</t>
  </si>
  <si>
    <t>Other adjustments - please list</t>
  </si>
  <si>
    <t>Total other adjustments</t>
  </si>
  <si>
    <t>Reconciled total revenue</t>
  </si>
  <si>
    <t>Turnover as per Profit and Loss (Stat Accounts)</t>
  </si>
  <si>
    <t>Check</t>
  </si>
  <si>
    <t>Reconciliation: Regulated Network Profit to Statutory Accounts</t>
  </si>
  <si>
    <t>Turnover/Revenue as per Statutory Accounts</t>
  </si>
  <si>
    <t xml:space="preserve">Collected Regulated Network Revenue  </t>
  </si>
  <si>
    <t>To be manually entered by Cadent (combined networks regulated revenue)</t>
  </si>
  <si>
    <t>Operating Costs, Pensions and Other Costs as per Statutory Accounts (excluding depreciation &amp; amortisation)</t>
  </si>
  <si>
    <t>Reconciliation</t>
  </si>
  <si>
    <t>Total Costs not related to the price control Regulated business (excluding depreciation &amp; amortisation)</t>
  </si>
  <si>
    <t>Atypical costs adjustment (reported on cash basis)</t>
  </si>
  <si>
    <t>Total Operating Costs as reported in the latest RRP submission (excluding depreciation &amp; amortisation)</t>
  </si>
  <si>
    <t xml:space="preserve">Difference </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</si>
  <si>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</si>
  <si>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</si>
  <si>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</si>
  <si>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</si>
  <si>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</si>
  <si>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 xml:space="preserve">can this be linked to row 135 on R3 </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</si>
  <si>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</si>
  <si>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</si>
  <si>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</si>
  <si>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</si>
  <si>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</si>
  <si>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</si>
  <si>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Difference</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</si>
  <si>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</si>
  <si>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</si>
  <si>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</si>
  <si>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</si>
  <si>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</si>
  <si>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</si>
  <si>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</si>
  <si>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</si>
  <si>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</si>
  <si>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</si>
  <si>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</si>
  <si>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</si>
  <si>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</si>
  <si>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</si>
  <si>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</si>
  <si>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</si>
  <si>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</si>
  <si>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</si>
  <si>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</si>
  <si>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</si>
  <si>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</si>
  <si>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</si>
  <si>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</si>
  <si>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 xml:space="preserve">Totex allowance 
  </t>
  </si>
  <si>
    <t>Repex (only applicable for GD2)</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</si>
  <si>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</si>
  <si>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</si>
  <si>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</si>
  <si>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</si>
  <si>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</si>
  <si>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</si>
  <si>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</si>
  <si>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</si>
  <si>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</si>
  <si>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</si>
  <si>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</si>
  <si>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</si>
  <si>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</si>
  <si>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</si>
  <si>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Capex Incurred</t>
  </si>
  <si>
    <t>Depreciation and Amortisation</t>
  </si>
  <si>
    <t>Other Operating Expenses (Opex)</t>
  </si>
  <si>
    <t>Other Operational Costs Incurred</t>
  </si>
  <si>
    <t>Opex Incurred (excluding Depreciation &amp; Amortisation)</t>
  </si>
  <si>
    <t>Total Expenditure Incurred</t>
  </si>
  <si>
    <t>Reconciling Items to Total Net costs after non-price control allocations</t>
  </si>
  <si>
    <t>Opex Reconciling Adjustments</t>
  </si>
  <si>
    <t>Total Opex adj. (excluding Depreciation &amp; Amortisation)</t>
  </si>
  <si>
    <t>Capex Reconciling Adjustments</t>
  </si>
  <si>
    <t xml:space="preserve">Total </t>
  </si>
  <si>
    <t>Total Reconciling Items</t>
  </si>
  <si>
    <t>Total Net costs after non-price control allocations</t>
  </si>
  <si>
    <t>Total Costs per latest RRP submission(all sectors except ESO)*</t>
  </si>
  <si>
    <t>licensee to provide cell reference to new RRP</t>
  </si>
  <si>
    <t>Total Costs per latest RRP submission (ESO)*</t>
  </si>
  <si>
    <t>Total Costs per latest RRP submission</t>
  </si>
  <si>
    <t>check</t>
  </si>
  <si>
    <t>Reconciling Items to Totex</t>
  </si>
  <si>
    <t>Total reconciling items not recognised in totex</t>
  </si>
  <si>
    <t>Reconciled Totex</t>
  </si>
  <si>
    <t>PCFM/ RRP reported Totex</t>
  </si>
  <si>
    <t>for ESO and NGET, this row should be inputted directly from the PCFM</t>
  </si>
  <si>
    <t>Not relevant for ESO</t>
  </si>
  <si>
    <t>*Licensee to provide a cell reference to the latest submitted RRP file from where the value is taken and note it in supporting comments/ narrative section below.</t>
  </si>
  <si>
    <t>R4 - Incentives and Other Revenue</t>
  </si>
  <si>
    <t>Output Incentives (Post Tax)</t>
  </si>
  <si>
    <t>Business Plan Incentive (per latest PCFM company-specific Input Sheet)</t>
  </si>
  <si>
    <t>Output Incentives  (per latest PCFM company-specific Input Sheet)</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</si>
  <si>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</si>
  <si>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</si>
  <si>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</si>
  <si>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</si>
  <si>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Network Innovation Allowance</t>
  </si>
  <si>
    <t>NIAt</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</si>
  <si>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</si>
  <si>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</si>
  <si>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</si>
  <si>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</si>
  <si>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</si>
  <si>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</si>
  <si>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Carry Over RIIO-1 Network Innovation Allowance</t>
  </si>
  <si>
    <t>CNIAt</t>
  </si>
  <si>
    <t>Eligible NIA expenditure and Bid Preparation costs</t>
  </si>
  <si>
    <t>Allowed CNIA adjustment</t>
  </si>
  <si>
    <t>Carry-over Network innovation input for RORE</t>
  </si>
  <si>
    <t>Strategic Innovation Fund</t>
  </si>
  <si>
    <t>SIFt</t>
  </si>
  <si>
    <t>SIF Funding</t>
  </si>
  <si>
    <t>SIF Funding Return (Disallowed Expenditure only)</t>
  </si>
  <si>
    <t>Allowed SIF adjustment</t>
  </si>
  <si>
    <t>Strategic innovation input for RORE</t>
  </si>
  <si>
    <t xml:space="preserve">Incentives </t>
  </si>
  <si>
    <t>Actuals may be updated once all incentives are determined - 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</si>
  <si>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</si>
  <si>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</si>
  <si>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</si>
  <si>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</si>
  <si>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Net Interest including forecast new financing/refinancing costs</t>
  </si>
  <si>
    <t>External Net Interest</t>
  </si>
  <si>
    <t>Intra-company Net Interest</t>
  </si>
  <si>
    <t>Memo: Net interest (RIIO-2) Definition that relates to non-cash principal inflation accretion on bonds and loans</t>
  </si>
  <si>
    <t>Inflation component of nominal finance cost</t>
  </si>
  <si>
    <t xml:space="preserve">In-period real finance cost (reg terms) at actual gearing </t>
  </si>
  <si>
    <t>Combined RPI-CPIH real to nominal prices conversion</t>
  </si>
  <si>
    <t>Factor</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</si>
  <si>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</si>
  <si>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</si>
  <si>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</si>
  <si>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</si>
  <si>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</si>
  <si>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</si>
  <si>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In-period real finance cost (reg terms) at actual gearing</t>
  </si>
  <si>
    <t>Adjustment to regulatory finance cost relating to variance from notional gearing</t>
  </si>
  <si>
    <t>In-period real finance cost (reg terms) at notional gearing</t>
  </si>
  <si>
    <t>Adjustments to be applied for performance assessment (at notional gearing)</t>
  </si>
  <si>
    <t>Cost of Debt Allowance</t>
  </si>
  <si>
    <t xml:space="preserve">The latest PCFM contains the allowed cost of debt rate (%) for the reporting year. </t>
  </si>
  <si>
    <t>Real Cost of Debt Allowance as per latest published PCFM (prior year AIP)</t>
  </si>
  <si>
    <t>Out(under) performance</t>
  </si>
  <si>
    <t xml:space="preserve">The real cost of debt is compared against the regulatory debt allowance (set in real terms) for an assessment of performance given the inflation protection provided by RAV indexation. </t>
  </si>
  <si>
    <t>Pre-Tax performance</t>
  </si>
  <si>
    <t>Pre-Tax Cost of Debt out(under)performance at actual gearing</t>
  </si>
  <si>
    <t>Pre-Tax Cost of Debt out(under)performance at notional gearing</t>
  </si>
  <si>
    <t>Pre-Tax Impact on out(under) performance relating to deviating from notional levels of gearing</t>
  </si>
  <si>
    <t>Other adjustments</t>
  </si>
  <si>
    <t>Net Interest Per Statutory Accounts</t>
  </si>
  <si>
    <t>Transmission or distribution allocation</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</si>
  <si>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</si>
  <si>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</si>
  <si>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</si>
  <si>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</si>
  <si>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</si>
  <si>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</si>
  <si>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</si>
  <si>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</si>
  <si>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Add back Debt Issuance expenses</t>
  </si>
  <si>
    <t>Costs of early redemption on long term debt (excluding exceptional costs of buy backs associated with M&amp;A activity)</t>
  </si>
  <si>
    <t>Add accrual for inflation accretion on index-linked swaps (if applicable)</t>
  </si>
  <si>
    <t>Opening Cash, short term deposits and overdrafts (per Balance Sheet)</t>
  </si>
  <si>
    <t>Closing Cash, short term deposits and overdrafts (per Balance Sheet)</t>
  </si>
  <si>
    <t>Total Modelled Debt</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</si>
  <si>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</si>
  <si>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</si>
  <si>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</si>
  <si>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</si>
  <si>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</si>
  <si>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</si>
  <si>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Conversion from Regulatory (RIIO-2) Definition of Net Debt to Statutory Net Debt</t>
  </si>
  <si>
    <t>1. Fair value adjustments</t>
  </si>
  <si>
    <t>2. Accrued interest</t>
  </si>
  <si>
    <t>3. Derivatives - other than cross currency swaps</t>
  </si>
  <si>
    <t>4. Balancing value on cross currency swaps</t>
  </si>
  <si>
    <t>5. IFRS 16 Right of Use Lease Liability</t>
  </si>
  <si>
    <t>6. [Insert adjustment as necessary]</t>
  </si>
  <si>
    <t>7. [Insert adjustment as necessary]</t>
  </si>
  <si>
    <t>8. [Insert adjustment as necessary]</t>
  </si>
  <si>
    <t>9. [Insert adjustment as necessary]</t>
  </si>
  <si>
    <t>10. [Insert adjustment as necessary]</t>
  </si>
  <si>
    <t>Net Debt per Statutory Accounts</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</si>
  <si>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</si>
  <si>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</si>
  <si>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</si>
  <si>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</si>
  <si>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</si>
  <si>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</si>
  <si>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</si>
  <si>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</si>
  <si>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</si>
  <si>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</si>
  <si>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t>1. [Insert adjustment as necessary]</t>
  </si>
  <si>
    <t>2. [Insert adjustment as necessary]</t>
  </si>
  <si>
    <t>3. [Insert adjustment as necessary]</t>
  </si>
  <si>
    <t>4. [Insert adjustment as necessary]</t>
  </si>
  <si>
    <t>5. [Insert adjustment as necessary]</t>
  </si>
  <si>
    <t>Bonds</t>
  </si>
  <si>
    <t>External Loans</t>
  </si>
  <si>
    <t>Private Placements</t>
  </si>
  <si>
    <t>Group company loans (licensee lender)</t>
  </si>
  <si>
    <t>Group company loans (licensee borrower)</t>
  </si>
  <si>
    <t>Group Loans from Finco back to back with finco bond issue</t>
  </si>
  <si>
    <t>Swaps Pay Leg</t>
  </si>
  <si>
    <t>Swaps Receive Leg</t>
  </si>
  <si>
    <t>Unamortised Issue Costs</t>
  </si>
  <si>
    <t>Fixed asset investments not readily convertible to cash</t>
  </si>
  <si>
    <t>Preference shares</t>
  </si>
  <si>
    <t>Long term loans (Not for benefit of regulated business or distribution in nature)</t>
  </si>
  <si>
    <t>11. [Insert adjustment as necessary]</t>
  </si>
  <si>
    <t>12. [Insert adjustment as necessary]</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</si>
  <si>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</si>
  <si>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</si>
  <si>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</si>
  <si>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</si>
  <si>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</si>
  <si>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</si>
  <si>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</si>
  <si>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</si>
  <si>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</si>
  <si>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</si>
  <si>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</si>
  <si>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</si>
  <si>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</si>
  <si>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</si>
  <si>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</si>
  <si>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</si>
  <si>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</si>
  <si>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</si>
  <si>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</si>
  <si>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</si>
  <si>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</si>
  <si>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</si>
  <si>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</si>
  <si>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</si>
  <si>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</si>
  <si>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</si>
  <si>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</si>
  <si>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</si>
  <si>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</si>
  <si>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</si>
  <si>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 after Regulatory Adjustments</t>
  </si>
  <si>
    <t xml:space="preserve">must match with worksheet R8a row 95 minus regulatory adjustments </t>
  </si>
  <si>
    <t>Adjustments to remove non-regulated tax liability</t>
  </si>
  <si>
    <t>Tax on non-regulated activities</t>
  </si>
  <si>
    <t>Metering</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</si>
  <si>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</si>
  <si>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</si>
  <si>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</si>
  <si>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</si>
  <si>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</si>
  <si>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</si>
  <si>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</si>
  <si>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</si>
  <si>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</si>
  <si>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</si>
  <si>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</si>
  <si>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</si>
  <si>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</si>
  <si>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</si>
  <si>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</si>
  <si>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</si>
  <si>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</si>
  <si>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</si>
  <si>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</si>
  <si>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</si>
  <si>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</si>
  <si>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</si>
  <si>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</si>
  <si>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</si>
  <si>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</si>
  <si>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Price base</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</si>
  <si>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</si>
  <si>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</si>
  <si>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</si>
  <si>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</si>
  <si>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</si>
  <si>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</si>
  <si>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</si>
  <si>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</si>
  <si>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</si>
  <si>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</si>
  <si>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</si>
  <si>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</si>
  <si>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Fixed Pay</t>
  </si>
  <si>
    <t>Salary</t>
  </si>
  <si>
    <t>Bonus</t>
  </si>
  <si>
    <t>Benefits</t>
  </si>
  <si>
    <t>Pension</t>
  </si>
  <si>
    <t>Total Fixed Pay</t>
  </si>
  <si>
    <t>Allocation to Regulated Business</t>
  </si>
  <si>
    <t>Variable Pay</t>
  </si>
  <si>
    <t>Incentives</t>
  </si>
  <si>
    <t>Performance related Pay</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</si>
  <si>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</si>
  <si>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</si>
  <si>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</si>
  <si>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</si>
  <si>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</si>
  <si>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</si>
  <si>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</si>
  <si>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</si>
  <si>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</si>
  <si>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</si>
  <si>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</si>
  <si>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</si>
  <si>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</si>
  <si>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</si>
  <si>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</si>
  <si>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</si>
  <si>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</si>
  <si>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</si>
  <si>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</si>
  <si>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</si>
  <si>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</si>
  <si>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</si>
  <si>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</si>
  <si>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</si>
  <si>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</si>
  <si>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</si>
  <si>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</si>
  <si>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</si>
  <si>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</si>
  <si>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</si>
  <si>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</si>
  <si>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</si>
  <si>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</si>
  <si>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</si>
  <si>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</si>
  <si>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</si>
  <si>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</si>
  <si>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</si>
  <si>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</si>
  <si>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</si>
  <si>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</si>
  <si>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</si>
  <si>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</si>
  <si>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</si>
  <si>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</si>
  <si>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</si>
  <si>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</si>
  <si>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</si>
  <si>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</si>
  <si>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</si>
  <si>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</si>
  <si>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</si>
  <si>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</si>
  <si>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</si>
  <si>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</si>
  <si>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R1-R10, F3-F6, I1-I2</t>
  </si>
  <si>
    <t xml:space="preserve">Non-input cells have been password protected to prevent any over-writing </t>
  </si>
  <si>
    <t xml:space="preserve">unprotected sheet </t>
  </si>
  <si>
    <t>R8a - Cell G16</t>
  </si>
  <si>
    <t>modified the label to correct PCFM reference for ESO</t>
  </si>
  <si>
    <t>Ofgem, ESO</t>
  </si>
  <si>
    <t>corrected error in calculation - modified the formula to exclude H90 (Profits used to offset outstanding losses - excluded from Corporation Tax)</t>
  </si>
  <si>
    <t>Demand &amp; Generation Reconcillation payments relating to 21/22 but paid in 22/23</t>
  </si>
  <si>
    <t>Demand &amp; Generation Reconcillation payments relating to 22/23 but paid in 23/24</t>
  </si>
  <si>
    <t>[Input description]</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</si>
  <si>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</si>
  <si>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</si>
  <si>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</si>
  <si>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</si>
  <si>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</si>
  <si>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</si>
  <si>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</si>
  <si>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</si>
  <si>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Transfer of Assets from Customers</t>
  </si>
  <si>
    <t>Other [Input description, add additional rows as required]</t>
  </si>
  <si>
    <t>Timing Delivery Difference</t>
  </si>
  <si>
    <t>[other Enduring Value adjustment]</t>
  </si>
  <si>
    <t>[Cross Price Control]</t>
  </si>
  <si>
    <t>[Input description, add additional rows as required]</t>
  </si>
  <si>
    <t>Total property, plant and equipment in use</t>
  </si>
  <si>
    <t>Adjust ongoing pension costs for IAS 19 present value accrual</t>
  </si>
  <si>
    <t>Pensions Deficit Repair Payments</t>
  </si>
  <si>
    <t>Right of Use Assets</t>
  </si>
  <si>
    <t>Indirect Income</t>
  </si>
  <si>
    <t>Other Operating Income</t>
  </si>
  <si>
    <t>HVDC Redress Fund</t>
  </si>
  <si>
    <t>TIRG related expenditure</t>
  </si>
  <si>
    <t>SPPS Depreciation of non-system assets</t>
  </si>
  <si>
    <t>Non Trading Rechargable Costs</t>
  </si>
  <si>
    <t>Non-System Capex</t>
  </si>
  <si>
    <t>Non Controllable Opex (Rates/Established Pension Deficit/Excluded, Consented and De Minimis Services/Pension Scheme Levy/Bad Debts)</t>
  </si>
  <si>
    <t>Innovation (NIC/NIA) Expenditure less IRM Expenditure (Reported as Price Control Totex)</t>
  </si>
  <si>
    <t>DRS Expenditure</t>
  </si>
  <si>
    <t>Capex Related Party Margin</t>
  </si>
  <si>
    <t>IFRS 16 Lease Interest</t>
  </si>
  <si>
    <t>Other Adjustments [please specify]</t>
  </si>
  <si>
    <t>Highest Paid Director</t>
  </si>
  <si>
    <t>Total (3)</t>
  </si>
  <si>
    <t>We have reported the values above consistent with  with UK-adopted international accounting
standards (“IAS”) in conformity with the requirements of the Companies Act 2006.</t>
  </si>
  <si>
    <t>18/19</t>
  </si>
  <si>
    <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</si>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</sst>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2">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0.0;\-#,##0.0;\-;@"/>
    <numFmt numFmtId="353" formatCode="0.000%"/>
    <numFmt numFmtId="354" formatCode="0.0000"/>
  </numFmts>
  <fonts count="275">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8"/>
      <color theme="1"/>
      <name val="Gill Sans MT"/>
      <family val="2"/>
    </font>
    <font>
      <sz val="9"/>
      <color theme="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9"/>
      <color theme="0" tint="-0.34998626667073579"/>
      <name val="CG Omega"/>
      <family val="2"/>
    </font>
    <font>
      <b/>
      <sz val="10"/>
      <name val="Gill Sans MT"/>
      <family val="2"/>
    </font>
    <font>
      <b/>
      <sz val="9"/>
      <color theme="1"/>
      <name val="Verdana"/>
      <family val="2"/>
    </font>
    <font>
      <b/>
      <sz val="10"/>
      <color theme="0" tint="-0.34998626667073579"/>
      <name val="Verdana"/>
      <family val="2"/>
    </font>
    <font>
      <b/>
      <sz val="10"/>
      <color theme="0"/>
      <name val="Verdana"/>
      <family val="2"/>
    </font>
  </fonts>
  <fills count="137">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rgb="FF366092"/>
        <bgColor indexed="64"/>
      </patternFill>
    </fill>
    <fill>
      <patternFill patternType="solid">
        <fgColor theme="2"/>
        <bgColor indexed="64"/>
      </patternFill>
    </fill>
  </fills>
  <borders count="16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style="thin">
        <color theme="0" tint="-0.499984740745262"/>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indexed="64"/>
      </top>
      <bottom style="thin">
        <color theme="0" tint="-0.499984740745262"/>
      </bottom>
      <diagonal/>
    </border>
    <border>
      <left style="thin">
        <color theme="0" tint="-0.499984740745262"/>
      </left>
      <right style="medium">
        <color rgb="FF000000"/>
      </right>
      <top style="thin">
        <color theme="0" tint="-0.499984740745262"/>
      </top>
      <bottom style="thin">
        <color theme="0" tint="-0.499984740745262"/>
      </bottom>
      <diagonal/>
    </border>
    <border>
      <left style="medium">
        <color rgb="FF000000"/>
      </left>
      <right style="thin">
        <color theme="0" tint="-0.499984740745262"/>
      </right>
      <top style="thin">
        <color theme="0" tint="-0.499984740745262"/>
      </top>
      <bottom style="thin">
        <color theme="0" tint="-0.499984740745262"/>
      </bottom>
      <diagonal/>
    </border>
    <border>
      <left style="medium">
        <color rgb="FF000000"/>
      </left>
      <right/>
      <top style="thin">
        <color theme="0" tint="-0.499984740745262"/>
      </top>
      <bottom style="thin">
        <color theme="0" tint="-0.499984740745262"/>
      </bottom>
      <diagonal/>
    </border>
    <border>
      <left style="medium">
        <color rgb="FF000000"/>
      </left>
      <right/>
      <top style="thin">
        <color theme="0" tint="-0.499984740745262"/>
      </top>
      <bottom style="medium">
        <color rgb="FF000000"/>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thin">
        <color theme="0" tint="-0.499984740745262"/>
      </left>
      <right style="medium">
        <color rgb="FF000000"/>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thin">
        <color theme="0" tint="-0.499984740745262"/>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medium">
        <color rgb="FF000000"/>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rgb="FF000000"/>
      </left>
      <right style="medium">
        <color rgb="FF000000"/>
      </right>
      <top style="thin">
        <color rgb="FF000000"/>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auto="1"/>
      </left>
      <right style="thin">
        <color auto="1"/>
      </right>
      <top/>
      <bottom/>
      <diagonal/>
    </border>
    <border>
      <left style="thin">
        <color auto="1"/>
      </left>
      <right/>
      <top/>
      <bottom/>
      <diagonal/>
    </border>
    <border>
      <left style="thin">
        <color theme="0"/>
      </left>
      <right style="thin">
        <color indexed="64"/>
      </right>
      <top style="thin">
        <color theme="0"/>
      </top>
      <bottom style="thin">
        <color theme="0"/>
      </bottom>
      <diagonal/>
    </border>
  </borders>
  <cellStyleXfs count="51704">
    <xf numFmtId="0" fontId="0" fillId="0" borderId="0"/>
    <xf numFmtId="164" fontId="7" fillId="0" borderId="0" applyFont="0" applyFill="0" applyBorder="0" applyAlignment="0" applyProtection="0"/>
    <xf numFmtId="164" fontId="9" fillId="0" borderId="0" applyFont="0" applyFill="0" applyBorder="0" applyAlignment="0" applyProtection="0"/>
    <xf numFmtId="0" fontId="9" fillId="0" borderId="0"/>
    <xf numFmtId="0" fontId="12" fillId="0" borderId="0"/>
    <xf numFmtId="0" fontId="9" fillId="0" borderId="0"/>
    <xf numFmtId="166" fontId="9" fillId="0" borderId="0" applyFont="0" applyFill="0" applyBorder="0" applyAlignment="0" applyProtection="0"/>
    <xf numFmtId="0" fontId="12" fillId="0" borderId="0"/>
    <xf numFmtId="0" fontId="12" fillId="0" borderId="0"/>
    <xf numFmtId="0" fontId="12" fillId="0" borderId="0"/>
    <xf numFmtId="0" fontId="12" fillId="0" borderId="0"/>
    <xf numFmtId="0" fontId="13"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4" fillId="12"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5"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9" fontId="10" fillId="0" borderId="0" applyFont="0" applyFill="0" applyBorder="0" applyAlignment="0" applyProtection="0"/>
    <xf numFmtId="4" fontId="16" fillId="18" borderId="3" applyNumberFormat="0" applyProtection="0">
      <alignment vertical="center"/>
    </xf>
    <xf numFmtId="4" fontId="17" fillId="18" borderId="3" applyNumberFormat="0" applyProtection="0">
      <alignment vertical="center"/>
    </xf>
    <xf numFmtId="4" fontId="16" fillId="18" borderId="3" applyNumberFormat="0" applyProtection="0">
      <alignment horizontal="left" vertical="center" indent="1"/>
    </xf>
    <xf numFmtId="0" fontId="16" fillId="18" borderId="3" applyNumberFormat="0" applyProtection="0">
      <alignment horizontal="left" vertical="top" indent="1"/>
    </xf>
    <xf numFmtId="4" fontId="16" fillId="19" borderId="0" applyNumberFormat="0" applyProtection="0">
      <alignment horizontal="left" vertical="center" indent="1"/>
    </xf>
    <xf numFmtId="4" fontId="18" fillId="20" borderId="3" applyNumberFormat="0" applyProtection="0">
      <alignment horizontal="right" vertical="center"/>
    </xf>
    <xf numFmtId="4" fontId="18" fillId="21" borderId="3" applyNumberFormat="0" applyProtection="0">
      <alignment horizontal="right" vertical="center"/>
    </xf>
    <xf numFmtId="4" fontId="18" fillId="22" borderId="3" applyNumberFormat="0" applyProtection="0">
      <alignment horizontal="right" vertical="center"/>
    </xf>
    <xf numFmtId="4" fontId="18" fillId="23" borderId="3" applyNumberFormat="0" applyProtection="0">
      <alignment horizontal="right" vertical="center"/>
    </xf>
    <xf numFmtId="4" fontId="18" fillId="24" borderId="3" applyNumberFormat="0" applyProtection="0">
      <alignment horizontal="right" vertical="center"/>
    </xf>
    <xf numFmtId="4" fontId="18" fillId="25" borderId="3" applyNumberFormat="0" applyProtection="0">
      <alignment horizontal="right" vertical="center"/>
    </xf>
    <xf numFmtId="4" fontId="18" fillId="26" borderId="3" applyNumberFormat="0" applyProtection="0">
      <alignment horizontal="right" vertical="center"/>
    </xf>
    <xf numFmtId="4" fontId="18" fillId="27" borderId="3" applyNumberFormat="0" applyProtection="0">
      <alignment horizontal="right" vertical="center"/>
    </xf>
    <xf numFmtId="4" fontId="18" fillId="28" borderId="3" applyNumberFormat="0" applyProtection="0">
      <alignment horizontal="right" vertical="center"/>
    </xf>
    <xf numFmtId="4" fontId="16" fillId="29" borderId="4" applyNumberFormat="0" applyProtection="0">
      <alignment horizontal="left" vertical="center" indent="1"/>
    </xf>
    <xf numFmtId="4" fontId="18" fillId="30" borderId="0" applyNumberFormat="0" applyProtection="0">
      <alignment horizontal="left" vertical="center" indent="1"/>
    </xf>
    <xf numFmtId="4" fontId="19" fillId="31" borderId="0" applyNumberFormat="0" applyProtection="0">
      <alignment horizontal="left" vertical="center" indent="1"/>
    </xf>
    <xf numFmtId="4" fontId="18" fillId="19" borderId="3" applyNumberFormat="0" applyProtection="0">
      <alignment horizontal="right" vertical="center"/>
    </xf>
    <xf numFmtId="4" fontId="18" fillId="30" borderId="0" applyNumberFormat="0" applyProtection="0">
      <alignment horizontal="left" vertical="center" indent="1"/>
    </xf>
    <xf numFmtId="4" fontId="18" fillId="19" borderId="0"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top" indent="1"/>
    </xf>
    <xf numFmtId="0" fontId="9" fillId="33" borderId="1" applyNumberFormat="0">
      <protection locked="0"/>
    </xf>
    <xf numFmtId="4" fontId="18" fillId="34" borderId="3" applyNumberFormat="0" applyProtection="0">
      <alignment vertical="center"/>
    </xf>
    <xf numFmtId="4" fontId="20" fillId="34" borderId="3" applyNumberFormat="0" applyProtection="0">
      <alignment vertical="center"/>
    </xf>
    <xf numFmtId="4" fontId="18" fillId="34" borderId="3" applyNumberFormat="0" applyProtection="0">
      <alignment horizontal="left" vertical="center" indent="1"/>
    </xf>
    <xf numFmtId="0" fontId="18" fillId="34" borderId="3" applyNumberFormat="0" applyProtection="0">
      <alignment horizontal="left" vertical="top" indent="1"/>
    </xf>
    <xf numFmtId="4" fontId="18" fillId="30" borderId="3" applyNumberFormat="0" applyProtection="0">
      <alignment horizontal="right" vertical="center"/>
    </xf>
    <xf numFmtId="4" fontId="20" fillId="30" borderId="3" applyNumberFormat="0" applyProtection="0">
      <alignment horizontal="right" vertical="center"/>
    </xf>
    <xf numFmtId="4" fontId="18" fillId="19" borderId="3" applyNumberFormat="0" applyProtection="0">
      <alignment horizontal="left" vertical="center" indent="1"/>
    </xf>
    <xf numFmtId="0" fontId="18" fillId="19" borderId="3" applyNumberFormat="0" applyProtection="0">
      <alignment horizontal="left" vertical="top" indent="1"/>
    </xf>
    <xf numFmtId="4" fontId="21" fillId="35" borderId="0" applyNumberFormat="0" applyProtection="0">
      <alignment horizontal="left" vertical="center" indent="1"/>
    </xf>
    <xf numFmtId="4" fontId="22" fillId="30" borderId="3" applyNumberFormat="0" applyProtection="0">
      <alignment horizontal="right" vertical="center"/>
    </xf>
    <xf numFmtId="0" fontId="23" fillId="0" borderId="0" applyNumberFormat="0" applyFill="0" applyBorder="0" applyAlignment="0" applyProtection="0"/>
    <xf numFmtId="0" fontId="9" fillId="0" borderId="0"/>
    <xf numFmtId="9" fontId="24" fillId="0" borderId="0" applyFont="0" applyFill="0" applyBorder="0" applyAlignment="0" applyProtection="0"/>
    <xf numFmtId="0" fontId="7" fillId="0" borderId="0"/>
    <xf numFmtId="0" fontId="9" fillId="33" borderId="6" applyNumberFormat="0">
      <protection locked="0"/>
    </xf>
    <xf numFmtId="9" fontId="7" fillId="0" borderId="0" applyFont="0" applyFill="0" applyBorder="0" applyAlignment="0" applyProtection="0"/>
    <xf numFmtId="0" fontId="9" fillId="0" borderId="0"/>
    <xf numFmtId="0" fontId="7" fillId="0" borderId="0"/>
    <xf numFmtId="0" fontId="9" fillId="0" borderId="0"/>
    <xf numFmtId="167" fontId="7" fillId="3" borderId="6">
      <alignment vertical="center"/>
      <protection locked="0"/>
    </xf>
    <xf numFmtId="167" fontId="7" fillId="43" borderId="6">
      <alignment vertical="center"/>
    </xf>
    <xf numFmtId="9" fontId="12" fillId="0" borderId="0" applyFont="0" applyFill="0" applyBorder="0" applyAlignment="0" applyProtection="0"/>
    <xf numFmtId="0" fontId="25" fillId="0" borderId="0">
      <alignment vertical="top"/>
    </xf>
    <xf numFmtId="0" fontId="12" fillId="0" borderId="0"/>
    <xf numFmtId="0" fontId="7" fillId="0" borderId="0"/>
    <xf numFmtId="0" fontId="28" fillId="0" borderId="0"/>
    <xf numFmtId="0" fontId="9" fillId="0" borderId="0"/>
    <xf numFmtId="0" fontId="9" fillId="0" borderId="0"/>
    <xf numFmtId="0" fontId="25" fillId="0" borderId="0"/>
    <xf numFmtId="167" fontId="7" fillId="3" borderId="6">
      <alignment vertical="center"/>
      <protection locked="0"/>
    </xf>
    <xf numFmtId="0" fontId="34" fillId="0" borderId="0" applyNumberFormat="0" applyFill="0" applyBorder="0" applyAlignment="0" applyProtection="0"/>
    <xf numFmtId="0" fontId="25" fillId="0" borderId="0"/>
    <xf numFmtId="168" fontId="37" fillId="48" borderId="0" applyBorder="0">
      <alignment vertical="center"/>
    </xf>
    <xf numFmtId="164" fontId="7" fillId="0" borderId="0" applyFont="0" applyFill="0" applyBorder="0" applyAlignment="0" applyProtection="0"/>
    <xf numFmtId="168" fontId="38" fillId="49" borderId="0"/>
    <xf numFmtId="0" fontId="12" fillId="0" borderId="0"/>
    <xf numFmtId="0" fontId="28" fillId="0" borderId="0"/>
    <xf numFmtId="0" fontId="7" fillId="0" borderId="0"/>
    <xf numFmtId="0" fontId="7"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0" fontId="9" fillId="0" borderId="0">
      <alignment vertical="top"/>
    </xf>
    <xf numFmtId="180" fontId="9" fillId="0" borderId="0">
      <alignment vertical="top"/>
    </xf>
    <xf numFmtId="181" fontId="43" fillId="0" borderId="0"/>
    <xf numFmtId="182" fontId="9" fillId="0" borderId="0"/>
    <xf numFmtId="182" fontId="9" fillId="0" borderId="0"/>
    <xf numFmtId="182" fontId="9" fillId="0" borderId="0"/>
    <xf numFmtId="182" fontId="9" fillId="0" borderId="0"/>
    <xf numFmtId="182" fontId="9" fillId="0" borderId="0"/>
    <xf numFmtId="180" fontId="44" fillId="0" borderId="0"/>
    <xf numFmtId="181" fontId="43" fillId="0" borderId="0"/>
    <xf numFmtId="182" fontId="9" fillId="0" borderId="0"/>
    <xf numFmtId="182" fontId="9" fillId="0" borderId="0"/>
    <xf numFmtId="182" fontId="9" fillId="0" borderId="0"/>
    <xf numFmtId="182" fontId="9" fillId="0" borderId="0"/>
    <xf numFmtId="182" fontId="9" fillId="0" borderId="0"/>
    <xf numFmtId="183" fontId="45" fillId="0" borderId="0" applyFont="0" applyFill="0" applyBorder="0" applyAlignment="0" applyProtection="0">
      <protection locked="0"/>
    </xf>
    <xf numFmtId="184" fontId="44" fillId="0" borderId="0">
      <alignment horizontal="right"/>
    </xf>
    <xf numFmtId="185" fontId="44" fillId="46" borderId="0"/>
    <xf numFmtId="186" fontId="44" fillId="46" borderId="0"/>
    <xf numFmtId="187" fontId="44" fillId="46" borderId="0"/>
    <xf numFmtId="188" fontId="44" fillId="46" borderId="0">
      <alignment horizontal="right"/>
    </xf>
    <xf numFmtId="0" fontId="12" fillId="0" borderId="0"/>
    <xf numFmtId="174" fontId="12" fillId="0" borderId="0"/>
    <xf numFmtId="174"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9"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180" fontId="9" fillId="0" borderId="0"/>
    <xf numFmtId="0" fontId="9" fillId="0" borderId="0"/>
    <xf numFmtId="180" fontId="12" fillId="0" borderId="0"/>
    <xf numFmtId="180" fontId="9" fillId="0" borderId="0"/>
    <xf numFmtId="180" fontId="9" fillId="0" borderId="0"/>
    <xf numFmtId="180" fontId="9" fillId="0" borderId="0"/>
    <xf numFmtId="18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0" fontId="12" fillId="0" borderId="0"/>
    <xf numFmtId="0" fontId="9" fillId="0" borderId="0"/>
    <xf numFmtId="0" fontId="9" fillId="0" borderId="0"/>
    <xf numFmtId="0" fontId="12" fillId="0" borderId="0"/>
    <xf numFmtId="0" fontId="12" fillId="0" borderId="0"/>
    <xf numFmtId="0" fontId="9" fillId="0" borderId="0"/>
    <xf numFmtId="0" fontId="12" fillId="0" borderId="0"/>
    <xf numFmtId="0" fontId="12" fillId="0" borderId="0"/>
    <xf numFmtId="180" fontId="12" fillId="0" borderId="0"/>
    <xf numFmtId="0" fontId="9" fillId="0" borderId="0"/>
    <xf numFmtId="0" fontId="9" fillId="0" borderId="0"/>
    <xf numFmtId="0" fontId="9" fillId="0" borderId="0"/>
    <xf numFmtId="19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18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8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18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180" fontId="9" fillId="0" borderId="0" applyBorder="0"/>
    <xf numFmtId="180" fontId="46" fillId="0" borderId="0" applyNumberFormat="0" applyFont="0" applyFill="0" applyBorder="0" applyAlignment="0" applyProtection="0"/>
    <xf numFmtId="191" fontId="9" fillId="0" borderId="0" applyFont="0" applyFill="0" applyBorder="0" applyAlignment="0" applyProtection="0"/>
    <xf numFmtId="180" fontId="41" fillId="0" borderId="0" applyNumberFormat="0" applyFill="0" applyBorder="0" applyAlignment="0" applyProtection="0">
      <alignment vertical="top"/>
      <protection locked="0"/>
    </xf>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2" fontId="47" fillId="0" borderId="0">
      <alignment horizontal="right" vertical="center"/>
    </xf>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180"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38" fontId="49" fillId="0" borderId="0" applyFont="0" applyFill="0" applyBorder="0" applyAlignment="0" applyProtection="0"/>
    <xf numFmtId="38" fontId="49" fillId="0" borderId="0" applyFont="0" applyFill="0" applyBorder="0" applyAlignment="0" applyProtection="0"/>
    <xf numFmtId="180" fontId="48" fillId="0" borderId="0"/>
    <xf numFmtId="180" fontId="9" fillId="0" borderId="0" applyFont="0" applyFill="0" applyBorder="0" applyAlignment="0" applyProtection="0"/>
    <xf numFmtId="180" fontId="48" fillId="0" borderId="0"/>
    <xf numFmtId="180" fontId="48" fillId="0" borderId="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0" borderId="0"/>
    <xf numFmtId="0" fontId="9" fillId="0" borderId="0" applyFont="0" applyFill="0" applyBorder="0" applyAlignment="0" applyProtection="0"/>
    <xf numFmtId="0" fontId="48" fillId="0" borderId="0"/>
    <xf numFmtId="180" fontId="9" fillId="0" borderId="0"/>
    <xf numFmtId="180" fontId="9" fillId="0" borderId="0"/>
    <xf numFmtId="18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49" fillId="0" borderId="0" applyFont="0" applyFill="0" applyBorder="0" applyAlignment="0" applyProtection="0"/>
    <xf numFmtId="193" fontId="9" fillId="0" borderId="0" applyFont="0" applyFill="0" applyBorder="0" applyAlignment="0" applyProtection="0"/>
    <xf numFmtId="180" fontId="43" fillId="0" borderId="0" applyFont="0" applyFill="0" applyBorder="0" applyAlignment="0" applyProtection="0"/>
    <xf numFmtId="193" fontId="9" fillId="0" borderId="0" applyFont="0" applyFill="0" applyBorder="0" applyAlignment="0" applyProtection="0"/>
    <xf numFmtId="180" fontId="9" fillId="0" borderId="0"/>
    <xf numFmtId="180" fontId="9" fillId="0" borderId="0"/>
    <xf numFmtId="0" fontId="9" fillId="0" borderId="0"/>
    <xf numFmtId="180" fontId="48" fillId="0" borderId="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94" fontId="9" fillId="0" borderId="0" applyFont="0" applyFill="0" applyBorder="0" applyAlignment="0" applyProtection="0"/>
    <xf numFmtId="180" fontId="43" fillId="0" borderId="0" applyFont="0" applyFill="0" applyBorder="0" applyAlignment="0" applyProtection="0"/>
    <xf numFmtId="195" fontId="9" fillId="0" borderId="0" applyFont="0" applyFill="0" applyBorder="0" applyAlignment="0" applyProtection="0"/>
    <xf numFmtId="194" fontId="9" fillId="0" borderId="0" applyFont="0" applyFill="0" applyBorder="0" applyAlignment="0" applyProtection="0"/>
    <xf numFmtId="195" fontId="9" fillId="0" borderId="0" applyFont="0" applyFill="0" applyBorder="0" applyAlignment="0" applyProtection="0"/>
    <xf numFmtId="39" fontId="9" fillId="0" borderId="0" applyFont="0" applyFill="0" applyBorder="0" applyAlignment="0" applyProtection="0"/>
    <xf numFmtId="180" fontId="43" fillId="0" borderId="0" applyFont="0" applyFill="0" applyBorder="0" applyAlignment="0" applyProtection="0"/>
    <xf numFmtId="39" fontId="9" fillId="0" borderId="0" applyFont="0" applyFill="0" applyBorder="0" applyAlignment="0" applyProtection="0"/>
    <xf numFmtId="180"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0" fontId="48" fillId="0" borderId="0"/>
    <xf numFmtId="180" fontId="41" fillId="0" borderId="0"/>
    <xf numFmtId="180" fontId="41" fillId="0" borderId="0"/>
    <xf numFmtId="38" fontId="49" fillId="0" borderId="0" applyAlignment="0" applyProtection="0"/>
    <xf numFmtId="38" fontId="49" fillId="0" borderId="0" applyFont="0" applyBorder="0" applyAlignment="0" applyProtection="0"/>
    <xf numFmtId="196" fontId="9" fillId="0" borderId="0" applyFont="0" applyFill="0" applyBorder="0" applyProtection="0">
      <alignment vertical="top"/>
    </xf>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0" fontId="48" fillId="0" borderId="0"/>
    <xf numFmtId="18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0" fontId="48" fillId="0" borderId="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38" fontId="40" fillId="0" borderId="0" applyAlignment="0" applyProtection="0"/>
    <xf numFmtId="0" fontId="9" fillId="0" borderId="0" applyFont="0" applyFill="0" applyBorder="0" applyAlignment="0" applyProtection="0"/>
    <xf numFmtId="196" fontId="9" fillId="0" borderId="0" applyFont="0" applyFill="0" applyBorder="0" applyProtection="0">
      <alignment vertical="top"/>
    </xf>
    <xf numFmtId="38" fontId="40" fillId="0" borderId="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48" fillId="0" borderId="0"/>
    <xf numFmtId="197" fontId="9" fillId="0" borderId="0" applyFont="0" applyFill="0" applyBorder="0" applyAlignment="0" applyProtection="0"/>
    <xf numFmtId="180" fontId="43" fillId="0" borderId="0" applyFont="0" applyFill="0" applyBorder="0" applyAlignment="0" applyProtection="0"/>
    <xf numFmtId="198" fontId="9" fillId="0" borderId="0" applyFont="0" applyFill="0" applyBorder="0" applyAlignment="0" applyProtection="0"/>
    <xf numFmtId="197" fontId="9" fillId="0" borderId="0" applyFont="0" applyFill="0" applyBorder="0" applyAlignment="0" applyProtection="0"/>
    <xf numFmtId="198" fontId="9" fillId="0" borderId="0" applyFont="0" applyFill="0" applyBorder="0" applyAlignment="0" applyProtection="0"/>
    <xf numFmtId="199" fontId="9" fillId="0" borderId="0" applyFont="0" applyFill="0" applyBorder="0" applyAlignment="0" applyProtection="0"/>
    <xf numFmtId="180" fontId="43" fillId="0" borderId="0" applyFont="0" applyFill="0" applyBorder="0" applyAlignment="0" applyProtection="0"/>
    <xf numFmtId="200" fontId="9" fillId="0" borderId="0" applyFont="0" applyFill="0" applyBorder="0" applyAlignment="0" applyProtection="0"/>
    <xf numFmtId="199"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180" fontId="48" fillId="0" borderId="0"/>
    <xf numFmtId="180" fontId="48" fillId="0" borderId="0"/>
    <xf numFmtId="180" fontId="9" fillId="0" borderId="0"/>
    <xf numFmtId="0" fontId="9" fillId="0" borderId="0" applyFont="0" applyFill="0" applyBorder="0" applyAlignment="0" applyProtection="0"/>
    <xf numFmtId="180" fontId="48" fillId="0" borderId="0"/>
    <xf numFmtId="38" fontId="40" fillId="0" borderId="0" applyAlignment="0" applyProtection="0"/>
    <xf numFmtId="180" fontId="9" fillId="0" borderId="0"/>
    <xf numFmtId="180" fontId="9" fillId="0" borderId="0"/>
    <xf numFmtId="38" fontId="49" fillId="0" borderId="0" applyFont="0" applyFill="0" applyBorder="0" applyAlignment="0" applyProtection="0"/>
    <xf numFmtId="38" fontId="49" fillId="0" borderId="0" applyFont="0" applyFill="0" applyBorder="0" applyAlignment="0" applyProtection="0"/>
    <xf numFmtId="201" fontId="9" fillId="0" borderId="0" applyFont="0" applyFill="0" applyBorder="0" applyAlignment="0" applyProtection="0"/>
    <xf numFmtId="180" fontId="43" fillId="0" borderId="0" applyFont="0" applyFill="0" applyBorder="0" applyAlignment="0" applyProtection="0"/>
    <xf numFmtId="176" fontId="9" fillId="0" borderId="0" applyFont="0" applyFill="0" applyBorder="0" applyAlignment="0" applyProtection="0"/>
    <xf numFmtId="201" fontId="9" fillId="0" borderId="0" applyFont="0" applyFill="0" applyBorder="0" applyAlignment="0" applyProtection="0"/>
    <xf numFmtId="176" fontId="9" fillId="0" borderId="0" applyFont="0" applyFill="0" applyBorder="0" applyAlignment="0" applyProtection="0"/>
    <xf numFmtId="202" fontId="9" fillId="0" borderId="0" applyFont="0" applyFill="0" applyBorder="0" applyAlignment="0" applyProtection="0"/>
    <xf numFmtId="180" fontId="43" fillId="0" borderId="0" applyFont="0" applyFill="0" applyBorder="0" applyAlignment="0" applyProtection="0"/>
    <xf numFmtId="203" fontId="9" fillId="0" borderId="0" applyFont="0" applyFill="0" applyBorder="0" applyAlignment="0" applyProtection="0"/>
    <xf numFmtId="202" fontId="9" fillId="0" borderId="0" applyFont="0" applyFill="0" applyBorder="0" applyAlignment="0" applyProtection="0"/>
    <xf numFmtId="203" fontId="9" fillId="0" borderId="0" applyFont="0" applyFill="0" applyBorder="0" applyAlignment="0" applyProtection="0"/>
    <xf numFmtId="180" fontId="50" fillId="0" borderId="0"/>
    <xf numFmtId="180" fontId="50" fillId="0" borderId="0"/>
    <xf numFmtId="180" fontId="50" fillId="0" borderId="0"/>
    <xf numFmtId="18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48" fillId="0" borderId="0"/>
    <xf numFmtId="0"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applyFont="0" applyFill="0" applyBorder="0" applyAlignment="0" applyProtection="0"/>
    <xf numFmtId="18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80" fontId="51" fillId="0" borderId="0" applyNumberFormat="0" applyFill="0" applyBorder="0" applyProtection="0">
      <alignment horizontal="left"/>
    </xf>
    <xf numFmtId="180" fontId="52" fillId="0" borderId="0" applyNumberFormat="0" applyFill="0" applyBorder="0" applyProtection="0">
      <alignment horizontal="centerContinuous"/>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0" fontId="50" fillId="0" borderId="0"/>
    <xf numFmtId="180" fontId="50" fillId="0" borderId="0"/>
    <xf numFmtId="204" fontId="53" fillId="0" borderId="0"/>
    <xf numFmtId="180" fontId="41" fillId="0" borderId="0"/>
    <xf numFmtId="180" fontId="41" fillId="0" borderId="0"/>
    <xf numFmtId="180" fontId="50" fillId="0" borderId="0"/>
    <xf numFmtId="180" fontId="50" fillId="0" borderId="0"/>
    <xf numFmtId="180" fontId="50" fillId="0" borderId="0"/>
    <xf numFmtId="0" fontId="9" fillId="0" borderId="0" applyFont="0" applyFill="0" applyBorder="0" applyAlignment="0" applyProtection="0"/>
    <xf numFmtId="180" fontId="9" fillId="0" borderId="0"/>
    <xf numFmtId="180" fontId="48" fillId="0" borderId="0"/>
    <xf numFmtId="204" fontId="5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205" fontId="54" fillId="0" borderId="0" applyFont="0" applyFill="0" applyBorder="0" applyAlignment="0" applyProtection="0"/>
    <xf numFmtId="206" fontId="41" fillId="0" borderId="0" applyFont="0" applyFill="0" applyBorder="0" applyAlignment="0" applyProtection="0"/>
    <xf numFmtId="207" fontId="55" fillId="0" borderId="0"/>
    <xf numFmtId="208" fontId="41" fillId="0" borderId="0" applyFont="0" applyFill="0" applyBorder="0" applyAlignment="0" applyProtection="0"/>
    <xf numFmtId="209" fontId="54" fillId="0" borderId="0" applyFont="0" applyFill="0" applyBorder="0" applyAlignment="0" applyProtection="0"/>
    <xf numFmtId="0" fontId="12" fillId="0" borderId="0"/>
    <xf numFmtId="0" fontId="9" fillId="0" borderId="0"/>
    <xf numFmtId="0" fontId="9" fillId="0" borderId="0"/>
    <xf numFmtId="0"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12" fillId="0" borderId="0"/>
    <xf numFmtId="0" fontId="12" fillId="0" borderId="0"/>
    <xf numFmtId="0" fontId="12" fillId="0" borderId="0"/>
    <xf numFmtId="0" fontId="9" fillId="0" borderId="0"/>
    <xf numFmtId="0" fontId="12" fillId="0" borderId="0"/>
    <xf numFmtId="0" fontId="9" fillId="0" borderId="0"/>
    <xf numFmtId="0" fontId="9" fillId="0" borderId="0"/>
    <xf numFmtId="0" fontId="9" fillId="0" borderId="0"/>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180" fontId="9" fillId="0" borderId="0"/>
    <xf numFmtId="210" fontId="9" fillId="0" borderId="0" applyBorder="0"/>
    <xf numFmtId="0" fontId="9" fillId="0" borderId="0"/>
    <xf numFmtId="0" fontId="9" fillId="0" borderId="0"/>
    <xf numFmtId="180" fontId="9" fillId="0" borderId="0" applyBorder="0"/>
    <xf numFmtId="210" fontId="9" fillId="0" borderId="0" applyBorder="0"/>
    <xf numFmtId="204" fontId="53" fillId="0" borderId="0"/>
    <xf numFmtId="211" fontId="55" fillId="0" borderId="0"/>
    <xf numFmtId="211" fontId="56" fillId="0" borderId="0"/>
    <xf numFmtId="212" fontId="55" fillId="0" borderId="0"/>
    <xf numFmtId="213" fontId="45" fillId="0" borderId="0" applyFont="0" applyFill="0" applyBorder="0" applyAlignment="0" applyProtection="0">
      <protection locked="0"/>
    </xf>
    <xf numFmtId="214" fontId="57" fillId="0" borderId="0"/>
    <xf numFmtId="180" fontId="56" fillId="0" borderId="0"/>
    <xf numFmtId="214" fontId="58" fillId="0" borderId="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189" fontId="59" fillId="56"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89" fontId="59" fillId="20"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189" fontId="59" fillId="57"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89" fontId="59" fillId="58"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189" fontId="59" fillId="59"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189" fontId="59" fillId="60" borderId="0" applyNumberFormat="0" applyBorder="0" applyAlignment="0" applyProtection="0"/>
    <xf numFmtId="215" fontId="55" fillId="0" borderId="0"/>
    <xf numFmtId="216" fontId="56" fillId="0" borderId="0"/>
    <xf numFmtId="215" fontId="60" fillId="0" borderId="0"/>
    <xf numFmtId="0" fontId="9" fillId="0" borderId="0"/>
    <xf numFmtId="0" fontId="9" fillId="0" borderId="0"/>
    <xf numFmtId="217" fontId="55" fillId="0" borderId="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89" fontId="59" fillId="32"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189" fontId="59" fillId="21"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89" fontId="59" fillId="2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89" fontId="59" fillId="58"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89" fontId="59" fillId="32"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89" fontId="59" fillId="23"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189" fontId="62" fillId="62"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89" fontId="62" fillId="21"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89" fontId="62" fillId="28"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89" fontId="62" fillId="63"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89" fontId="62" fillId="6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189" fontId="62" fillId="24" borderId="0" applyNumberFormat="0" applyBorder="0" applyAlignment="0" applyProtection="0"/>
    <xf numFmtId="0" fontId="43" fillId="0" borderId="0"/>
    <xf numFmtId="0" fontId="13" fillId="65" borderId="0" applyNumberFormat="0" applyBorder="0" applyAlignment="0" applyProtection="0"/>
    <xf numFmtId="0" fontId="13" fillId="12"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189" fontId="62" fillId="67" borderId="0" applyNumberFormat="0" applyBorder="0" applyAlignment="0" applyProtection="0"/>
    <xf numFmtId="0" fontId="13" fillId="68" borderId="0" applyNumberFormat="0" applyBorder="0" applyAlignment="0" applyProtection="0"/>
    <xf numFmtId="0" fontId="13" fillId="11"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89" fontId="62" fillId="22" borderId="0" applyNumberFormat="0" applyBorder="0" applyAlignment="0" applyProtection="0"/>
    <xf numFmtId="0" fontId="13" fillId="70" borderId="0" applyNumberFormat="0" applyBorder="0" applyAlignment="0" applyProtection="0"/>
    <xf numFmtId="0" fontId="13" fillId="71"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189" fontId="62" fillId="26" borderId="0" applyNumberFormat="0" applyBorder="0" applyAlignment="0" applyProtection="0"/>
    <xf numFmtId="0" fontId="13" fillId="68" borderId="0" applyNumberFormat="0" applyBorder="0" applyAlignment="0" applyProtection="0"/>
    <xf numFmtId="0" fontId="13" fillId="9"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89" fontId="62" fillId="63"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89" fontId="62" fillId="64"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189" fontId="62" fillId="25" borderId="0" applyNumberFormat="0" applyBorder="0" applyAlignment="0" applyProtection="0"/>
    <xf numFmtId="218" fontId="63" fillId="0" borderId="9">
      <alignment horizontal="centerContinuous"/>
    </xf>
    <xf numFmtId="219" fontId="64" fillId="40" borderId="12">
      <alignment horizontal="center" vertical="center"/>
    </xf>
    <xf numFmtId="210" fontId="45" fillId="0" borderId="0" applyFont="0" applyFill="0" applyBorder="0" applyAlignment="0" applyProtection="0"/>
    <xf numFmtId="180" fontId="45" fillId="0" borderId="0" applyFont="0" applyFill="0" applyBorder="0" applyAlignment="0" applyProtection="0"/>
    <xf numFmtId="204" fontId="65" fillId="0" borderId="0" applyNumberFormat="0" applyFont="0" applyFill="0" applyBorder="0" applyProtection="0">
      <alignment horizontal="center"/>
    </xf>
    <xf numFmtId="220" fontId="66" fillId="0" borderId="0">
      <alignment horizontal="left"/>
    </xf>
    <xf numFmtId="0" fontId="57" fillId="0" borderId="0"/>
    <xf numFmtId="221" fontId="67" fillId="0" borderId="0" applyFont="0" applyFill="0" applyBorder="0" applyAlignment="0" applyProtection="0"/>
    <xf numFmtId="180" fontId="45" fillId="0" borderId="0" applyFont="0" applyFill="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70" fillId="55"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189" fontId="72" fillId="20" borderId="0" applyNumberFormat="0" applyBorder="0" applyAlignment="0" applyProtection="0"/>
    <xf numFmtId="222" fontId="73" fillId="75" borderId="7" applyNumberFormat="0" applyBorder="0" applyAlignment="0">
      <alignment horizontal="centerContinuous" vertical="center"/>
      <protection hidden="1"/>
    </xf>
    <xf numFmtId="1" fontId="74" fillId="76" borderId="10" applyNumberFormat="0" applyBorder="0" applyAlignment="0">
      <alignment horizontal="center" vertical="top" wrapText="1"/>
      <protection hidden="1"/>
    </xf>
    <xf numFmtId="223" fontId="9" fillId="0" borderId="0" applyFont="0" applyFill="0" applyBorder="0" applyAlignment="0" applyProtection="0"/>
    <xf numFmtId="193" fontId="9" fillId="0" borderId="0" applyNumberFormat="0" applyFont="0" applyAlignment="0" applyProtection="0"/>
    <xf numFmtId="180" fontId="75" fillId="77" borderId="0">
      <alignment horizontal="left"/>
    </xf>
    <xf numFmtId="224" fontId="76" fillId="0" borderId="0" applyFill="0" applyBorder="0" applyAlignment="0" applyProtection="0"/>
    <xf numFmtId="2" fontId="77" fillId="50" borderId="11" applyProtection="0">
      <alignment horizontal="left"/>
      <protection locked="0"/>
    </xf>
    <xf numFmtId="180" fontId="64" fillId="40" borderId="0" applyNumberFormat="0" applyFont="0" applyAlignment="0">
      <alignment horizontal="center"/>
    </xf>
    <xf numFmtId="225" fontId="78" fillId="40" borderId="0" applyFont="0" applyFill="0" applyBorder="0" applyAlignment="0" applyProtection="0"/>
    <xf numFmtId="180" fontId="79" fillId="0" borderId="0" applyNumberFormat="0" applyFill="0" applyBorder="0" applyAlignment="0" applyProtection="0"/>
    <xf numFmtId="180" fontId="80" fillId="0" borderId="9" applyNumberFormat="0" applyFill="0" applyAlignment="0" applyProtection="0"/>
    <xf numFmtId="180" fontId="55" fillId="0" borderId="0"/>
    <xf numFmtId="226" fontId="81" fillId="45" borderId="0" applyFont="0" applyFill="0" applyBorder="0" applyAlignment="0" applyProtection="0"/>
    <xf numFmtId="227" fontId="43" fillId="0" borderId="0" applyAlignment="0" applyProtection="0"/>
    <xf numFmtId="49" fontId="53" fillId="0" borderId="0" applyNumberFormat="0" applyAlignment="0" applyProtection="0">
      <alignment horizontal="left"/>
    </xf>
    <xf numFmtId="49" fontId="82" fillId="0" borderId="13" applyNumberFormat="0" applyAlignment="0" applyProtection="0">
      <alignment horizontal="left" wrapText="1"/>
    </xf>
    <xf numFmtId="49" fontId="83" fillId="0" borderId="0" applyAlignment="0" applyProtection="0">
      <alignment horizontal="left"/>
    </xf>
    <xf numFmtId="228" fontId="41" fillId="0" borderId="0" applyFont="0" applyFill="0" applyBorder="0" applyAlignment="0" applyProtection="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5" fillId="0" borderId="0"/>
    <xf numFmtId="229" fontId="43" fillId="0" borderId="0"/>
    <xf numFmtId="230" fontId="43" fillId="0" borderId="0"/>
    <xf numFmtId="231" fontId="43" fillId="0" borderId="0"/>
    <xf numFmtId="229" fontId="43" fillId="0" borderId="8"/>
    <xf numFmtId="230" fontId="43" fillId="0" borderId="8"/>
    <xf numFmtId="230" fontId="43" fillId="0" borderId="8"/>
    <xf numFmtId="231" fontId="43" fillId="0" borderId="8"/>
    <xf numFmtId="231" fontId="43" fillId="0" borderId="8"/>
    <xf numFmtId="229" fontId="43" fillId="0" borderId="8"/>
    <xf numFmtId="229" fontId="43" fillId="0" borderId="8"/>
    <xf numFmtId="229" fontId="43" fillId="0" borderId="0"/>
    <xf numFmtId="232" fontId="43" fillId="0" borderId="0"/>
    <xf numFmtId="180" fontId="45" fillId="0" borderId="0" applyFill="0" applyBorder="0" applyAlignment="0"/>
    <xf numFmtId="233" fontId="43" fillId="0" borderId="0"/>
    <xf numFmtId="234" fontId="43" fillId="0" borderId="0"/>
    <xf numFmtId="232" fontId="43" fillId="0" borderId="8"/>
    <xf numFmtId="233" fontId="43" fillId="0" borderId="8"/>
    <xf numFmtId="233" fontId="43" fillId="0" borderId="8"/>
    <xf numFmtId="234" fontId="43" fillId="0" borderId="8"/>
    <xf numFmtId="234" fontId="43" fillId="0" borderId="8"/>
    <xf numFmtId="232" fontId="43" fillId="0" borderId="8"/>
    <xf numFmtId="232" fontId="43" fillId="0" borderId="8"/>
    <xf numFmtId="232" fontId="43" fillId="0" borderId="0"/>
    <xf numFmtId="235" fontId="43" fillId="0" borderId="0">
      <alignment horizontal="right"/>
      <protection locked="0"/>
    </xf>
    <xf numFmtId="236" fontId="43" fillId="0" borderId="0">
      <alignment horizontal="right"/>
      <protection locked="0"/>
    </xf>
    <xf numFmtId="237" fontId="43" fillId="0" borderId="0"/>
    <xf numFmtId="238" fontId="43" fillId="0" borderId="0"/>
    <xf numFmtId="239" fontId="43" fillId="0" borderId="0"/>
    <xf numFmtId="237" fontId="43" fillId="0" borderId="8"/>
    <xf numFmtId="238" fontId="43" fillId="0" borderId="8"/>
    <xf numFmtId="238" fontId="43" fillId="0" borderId="8"/>
    <xf numFmtId="239" fontId="43" fillId="0" borderId="8"/>
    <xf numFmtId="239" fontId="43" fillId="0" borderId="8"/>
    <xf numFmtId="237" fontId="43" fillId="0" borderId="8"/>
    <xf numFmtId="237" fontId="43" fillId="0" borderId="8"/>
    <xf numFmtId="237" fontId="43" fillId="0" borderId="0"/>
    <xf numFmtId="240" fontId="9" fillId="46" borderId="0"/>
    <xf numFmtId="180" fontId="9" fillId="0" borderId="0">
      <alignment vertical="center"/>
    </xf>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189" fontId="88" fillId="61" borderId="14" applyNumberFormat="0" applyAlignment="0" applyProtection="0"/>
    <xf numFmtId="189" fontId="88" fillId="61" borderId="14" applyNumberFormat="0" applyAlignment="0" applyProtection="0"/>
    <xf numFmtId="38" fontId="89" fillId="0" borderId="0" applyNumberFormat="0" applyFill="0" applyBorder="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189" fontId="91" fillId="79" borderId="15" applyNumberFormat="0" applyAlignment="0" applyProtection="0"/>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7" fontId="64" fillId="0" borderId="9">
      <alignment horizontal="center"/>
    </xf>
    <xf numFmtId="37" fontId="64" fillId="0" borderId="0">
      <alignment horizontal="center" vertical="center" wrapText="1"/>
    </xf>
    <xf numFmtId="1" fontId="92" fillId="0" borderId="16">
      <alignment vertical="top"/>
    </xf>
    <xf numFmtId="173" fontId="93" fillId="0" borderId="0" applyBorder="0">
      <alignment horizontal="right"/>
    </xf>
    <xf numFmtId="173" fontId="93" fillId="0" borderId="17" applyAlignment="0">
      <alignment horizontal="right"/>
    </xf>
    <xf numFmtId="241" fontId="41" fillId="0" borderId="0"/>
    <xf numFmtId="241" fontId="41" fillId="0" borderId="0"/>
    <xf numFmtId="241" fontId="41" fillId="0" borderId="0"/>
    <xf numFmtId="241" fontId="41" fillId="0" borderId="0"/>
    <xf numFmtId="241" fontId="41" fillId="0" borderId="0"/>
    <xf numFmtId="241" fontId="41" fillId="0" borderId="0"/>
    <xf numFmtId="241" fontId="41" fillId="0" borderId="0"/>
    <xf numFmtId="241" fontId="41" fillId="0" borderId="0"/>
    <xf numFmtId="38" fontId="9" fillId="0" borderId="0" applyFont="0" applyFill="0" applyBorder="0" applyAlignment="0" applyProtection="0"/>
    <xf numFmtId="204" fontId="45" fillId="0" borderId="0" applyFont="0" applyFill="0" applyBorder="0" applyAlignment="0" applyProtection="0">
      <protection locked="0"/>
    </xf>
    <xf numFmtId="40" fontId="45" fillId="0" borderId="0" applyFont="0" applyFill="0" applyBorder="0" applyAlignment="0" applyProtection="0">
      <protection locked="0"/>
    </xf>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0" fontId="9" fillId="0" borderId="0" applyNumberFormat="0" applyFont="0" applyBorder="0" applyAlignment="0"/>
    <xf numFmtId="207" fontId="55" fillId="0" borderId="0"/>
    <xf numFmtId="242" fontId="57" fillId="0" borderId="0"/>
    <xf numFmtId="180" fontId="94" fillId="0" borderId="0" applyFont="0" applyFill="0" applyBorder="0" applyAlignment="0" applyProtection="0">
      <alignment horizontal="right"/>
    </xf>
    <xf numFmtId="243" fontId="94" fillId="0" borderId="0" applyFont="0" applyFill="0" applyBorder="0" applyAlignment="0" applyProtection="0"/>
    <xf numFmtId="180" fontId="94" fillId="0" borderId="0" applyFont="0" applyFill="0" applyBorder="0" applyAlignment="0" applyProtection="0">
      <alignment horizontal="right"/>
    </xf>
    <xf numFmtId="0"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242" fontId="12" fillId="0" borderId="0" applyFont="0" applyFill="0" applyBorder="0" applyAlignment="0" applyProtection="0"/>
    <xf numFmtId="174" fontId="12" fillId="0" borderId="0" applyFont="0" applyFill="0" applyBorder="0" applyAlignment="0" applyProtection="0"/>
    <xf numFmtId="193" fontId="12" fillId="0" borderId="0" applyFont="0" applyFill="0" applyBorder="0" applyAlignment="0" applyProtection="0"/>
    <xf numFmtId="174"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244" fontId="12" fillId="0" borderId="0" applyFont="0" applyFill="0" applyBorder="0" applyAlignment="0" applyProtection="0"/>
    <xf numFmtId="245" fontId="12" fillId="0" borderId="0" applyFont="0" applyFill="0" applyBorder="0" applyAlignment="0" applyProtection="0"/>
    <xf numFmtId="245" fontId="12" fillId="0" borderId="0" applyFont="0" applyFill="0" applyBorder="0" applyAlignment="0" applyProtection="0"/>
    <xf numFmtId="173" fontId="12" fillId="0" borderId="0" applyFont="0" applyFill="0" applyBorder="0" applyAlignment="0" applyProtection="0"/>
    <xf numFmtId="188"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8"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8"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246" fontId="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2" fillId="0" borderId="0" applyFont="0" applyFill="0" applyBorder="0" applyAlignment="0" applyProtection="0"/>
    <xf numFmtId="164" fontId="1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247" fontId="9" fillId="0" borderId="0" applyFont="0" applyFill="0" applyBorder="0" applyAlignment="0" applyProtection="0"/>
    <xf numFmtId="164" fontId="18"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2"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8" fontId="9" fillId="0" borderId="0" applyFont="0" applyFill="0" applyBorder="0" applyAlignment="0" applyProtection="0"/>
    <xf numFmtId="38" fontId="41" fillId="0" borderId="0" applyFill="0" applyBorder="0" applyProtection="0">
      <alignment horizontal="center"/>
    </xf>
    <xf numFmtId="180" fontId="95" fillId="0" borderId="0">
      <protection locked="0"/>
    </xf>
    <xf numFmtId="249" fontId="9" fillId="0" borderId="0" applyBorder="0"/>
    <xf numFmtId="250" fontId="53" fillId="0" borderId="0" applyBorder="0"/>
    <xf numFmtId="251" fontId="9" fillId="0" borderId="0" applyFill="0" applyBorder="0">
      <alignment horizontal="left"/>
    </xf>
    <xf numFmtId="180" fontId="96" fillId="0" borderId="0" applyNumberFormat="0" applyAlignment="0">
      <alignment horizontal="left"/>
    </xf>
    <xf numFmtId="37" fontId="9" fillId="80" borderId="0" applyFont="0" applyBorder="0" applyAlignment="0" applyProtection="0"/>
    <xf numFmtId="193" fontId="50" fillId="80" borderId="0" applyFont="0" applyBorder="0" applyAlignment="0" applyProtection="0"/>
    <xf numFmtId="39" fontId="50" fillId="80" borderId="0" applyFont="0" applyBorder="0" applyAlignment="0" applyProtection="0"/>
    <xf numFmtId="252" fontId="97" fillId="0" borderId="0"/>
    <xf numFmtId="253" fontId="45" fillId="0" borderId="0" applyFont="0" applyFill="0" applyBorder="0" applyAlignment="0" applyProtection="0">
      <protection locked="0"/>
    </xf>
    <xf numFmtId="254" fontId="45" fillId="0" borderId="0" applyFont="0" applyFill="0" applyBorder="0" applyAlignment="0" applyProtection="0">
      <protection locked="0"/>
    </xf>
    <xf numFmtId="255" fontId="9" fillId="0" borderId="0">
      <alignment horizontal="right"/>
    </xf>
    <xf numFmtId="180" fontId="94" fillId="0" borderId="0" applyFont="0" applyFill="0" applyBorder="0" applyAlignment="0" applyProtection="0">
      <alignment horizontal="right"/>
    </xf>
    <xf numFmtId="256" fontId="28" fillId="0" borderId="0" applyFont="0" applyFill="0" applyBorder="0" applyAlignment="0" applyProtection="0"/>
    <xf numFmtId="257" fontId="9" fillId="0" borderId="0" applyFont="0" applyFill="0" applyBorder="0" applyAlignment="0" applyProtection="0"/>
    <xf numFmtId="180" fontId="94" fillId="0" borderId="0" applyFont="0" applyFill="0" applyBorder="0" applyAlignment="0" applyProtection="0">
      <alignment horizontal="right"/>
    </xf>
    <xf numFmtId="256" fontId="13" fillId="0" borderId="0" applyFont="0" applyFill="0" applyBorder="0" applyAlignment="0" applyProtection="0"/>
    <xf numFmtId="251" fontId="9" fillId="0" borderId="0" applyFont="0" applyFill="0" applyBorder="0" applyAlignment="0" applyProtection="0"/>
    <xf numFmtId="256" fontId="13" fillId="0" borderId="0" applyFont="0" applyFill="0" applyBorder="0" applyAlignment="0" applyProtection="0"/>
    <xf numFmtId="256" fontId="13" fillId="0" borderId="0" applyFont="0" applyFill="0" applyBorder="0" applyAlignment="0" applyProtection="0"/>
    <xf numFmtId="258" fontId="9" fillId="0" borderId="0" applyFont="0" applyFill="0" applyBorder="0" applyAlignment="0" applyProtection="0"/>
    <xf numFmtId="180" fontId="9" fillId="0" borderId="0" applyFont="0" applyFill="0" applyBorder="0" applyAlignment="0" applyProtection="0"/>
    <xf numFmtId="49" fontId="98" fillId="81" borderId="0" applyAlignment="0" applyProtection="0">
      <alignment vertical="center"/>
    </xf>
    <xf numFmtId="259" fontId="44" fillId="46" borderId="11">
      <alignment horizontal="right"/>
    </xf>
    <xf numFmtId="260" fontId="41" fillId="0" borderId="0" applyFont="0" applyFill="0" applyBorder="0" applyAlignment="0" applyProtection="0"/>
    <xf numFmtId="229" fontId="43" fillId="45" borderId="18">
      <protection locked="0"/>
    </xf>
    <xf numFmtId="230" fontId="43" fillId="45" borderId="18">
      <protection locked="0"/>
    </xf>
    <xf numFmtId="231" fontId="43" fillId="45" borderId="18">
      <protection locked="0"/>
    </xf>
    <xf numFmtId="229" fontId="43" fillId="45" borderId="18">
      <protection locked="0"/>
    </xf>
    <xf numFmtId="232" fontId="43" fillId="45" borderId="18">
      <protection locked="0"/>
    </xf>
    <xf numFmtId="233" fontId="43" fillId="45" borderId="18">
      <protection locked="0"/>
    </xf>
    <xf numFmtId="234" fontId="43" fillId="45" borderId="18">
      <protection locked="0"/>
    </xf>
    <xf numFmtId="232" fontId="43" fillId="45" borderId="18">
      <protection locked="0"/>
    </xf>
    <xf numFmtId="235" fontId="43" fillId="37" borderId="18">
      <alignment horizontal="right"/>
      <protection locked="0"/>
    </xf>
    <xf numFmtId="236" fontId="43" fillId="37" borderId="18">
      <alignment horizontal="right"/>
      <protection locked="0"/>
    </xf>
    <xf numFmtId="0" fontId="43" fillId="82" borderId="18">
      <alignment horizontal="left"/>
      <protection locked="0"/>
    </xf>
    <xf numFmtId="49" fontId="43" fillId="38" borderId="18">
      <alignment horizontal="left" vertical="top" wrapText="1"/>
      <protection locked="0"/>
    </xf>
    <xf numFmtId="237" fontId="43" fillId="45" borderId="18">
      <protection locked="0"/>
    </xf>
    <xf numFmtId="238" fontId="43" fillId="45" borderId="18">
      <protection locked="0"/>
    </xf>
    <xf numFmtId="239" fontId="43" fillId="45" borderId="18">
      <protection locked="0"/>
    </xf>
    <xf numFmtId="237" fontId="43" fillId="45" borderId="18">
      <protection locked="0"/>
    </xf>
    <xf numFmtId="49" fontId="43" fillId="38" borderId="18">
      <alignment horizontal="left"/>
      <protection locked="0"/>
    </xf>
    <xf numFmtId="261" fontId="43" fillId="45" borderId="18">
      <alignment horizontal="left" indent="1"/>
      <protection locked="0"/>
    </xf>
    <xf numFmtId="262" fontId="9" fillId="45" borderId="19"/>
    <xf numFmtId="262" fontId="9" fillId="45" borderId="19"/>
    <xf numFmtId="262" fontId="9" fillId="45" borderId="19"/>
    <xf numFmtId="262" fontId="9" fillId="45" borderId="19"/>
    <xf numFmtId="262" fontId="9" fillId="45" borderId="19"/>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180" fontId="94" fillId="0" borderId="0" applyFont="0" applyFill="0" applyBorder="0" applyAlignment="0" applyProtection="0"/>
    <xf numFmtId="264" fontId="9" fillId="0" borderId="0" applyFont="0" applyFill="0" applyBorder="0" applyAlignment="0" applyProtection="0"/>
    <xf numFmtId="180" fontId="94" fillId="0" borderId="0" applyFont="0" applyFill="0" applyBorder="0" applyAlignment="0" applyProtection="0"/>
    <xf numFmtId="180" fontId="93" fillId="50" borderId="0">
      <alignment horizontal="left"/>
    </xf>
    <xf numFmtId="263" fontId="9" fillId="0" borderId="0" applyFill="0" applyBorder="0"/>
    <xf numFmtId="14" fontId="9" fillId="0" borderId="0"/>
    <xf numFmtId="265" fontId="9" fillId="0" borderId="0" applyFont="0" applyFill="0" applyBorder="0" applyAlignment="0" applyProtection="0"/>
    <xf numFmtId="266" fontId="9" fillId="0" borderId="0" applyFont="0" applyFill="0" applyBorder="0" applyProtection="0">
      <alignment vertical="top"/>
    </xf>
    <xf numFmtId="266" fontId="9" fillId="0" borderId="0" applyFont="0" applyFill="0" applyBorder="0" applyProtection="0">
      <alignment vertical="top"/>
    </xf>
    <xf numFmtId="266" fontId="9" fillId="0" borderId="0" applyFont="0" applyFill="0" applyBorder="0" applyProtection="0">
      <alignment vertical="top"/>
    </xf>
    <xf numFmtId="267" fontId="9" fillId="0" borderId="0" applyFont="0" applyFill="0" applyBorder="0" applyAlignment="0" applyProtection="0"/>
    <xf numFmtId="266" fontId="9" fillId="0" borderId="0" applyFont="0" applyFill="0" applyBorder="0" applyProtection="0">
      <alignment vertical="top"/>
    </xf>
    <xf numFmtId="267" fontId="9" fillId="0" borderId="0" applyFont="0" applyFill="0" applyBorder="0" applyAlignment="0" applyProtection="0"/>
    <xf numFmtId="268" fontId="9" fillId="0" borderId="0" applyFont="0" applyFill="0" applyBorder="0" applyProtection="0">
      <alignment vertical="top"/>
    </xf>
    <xf numFmtId="268" fontId="9" fillId="0" borderId="0" applyFont="0" applyFill="0" applyBorder="0" applyProtection="0">
      <alignment vertical="top"/>
    </xf>
    <xf numFmtId="268" fontId="9" fillId="0" borderId="0" applyFont="0" applyFill="0" applyBorder="0" applyProtection="0">
      <alignment vertical="top"/>
    </xf>
    <xf numFmtId="268" fontId="9" fillId="0" borderId="0" applyFont="0" applyFill="0" applyBorder="0" applyProtection="0">
      <alignment vertical="top"/>
    </xf>
    <xf numFmtId="212" fontId="57" fillId="0" borderId="0">
      <alignment horizontal="right"/>
    </xf>
    <xf numFmtId="207" fontId="57" fillId="0" borderId="0">
      <alignment horizontal="right"/>
      <protection locked="0"/>
    </xf>
    <xf numFmtId="207" fontId="57" fillId="0" borderId="0"/>
    <xf numFmtId="269" fontId="57" fillId="0" borderId="0">
      <alignment horizontal="right"/>
      <protection locked="0"/>
    </xf>
    <xf numFmtId="207" fontId="58" fillId="0" borderId="0"/>
    <xf numFmtId="270" fontId="53" fillId="83" borderId="0" applyAlignment="0" applyProtection="0">
      <alignment horizontal="right"/>
    </xf>
    <xf numFmtId="271" fontId="9" fillId="0" borderId="0" applyFont="0" applyFill="0" applyBorder="0" applyAlignment="0" applyProtection="0"/>
    <xf numFmtId="166" fontId="9" fillId="0" borderId="0" applyFont="0" applyFill="0" applyBorder="0" applyAlignment="0" applyProtection="0"/>
    <xf numFmtId="204" fontId="65" fillId="46" borderId="0" applyNumberFormat="0" applyFont="0" applyBorder="0" applyAlignment="0" applyProtection="0"/>
    <xf numFmtId="254" fontId="41" fillId="0" borderId="0" applyFill="0" applyBorder="0" applyProtection="0">
      <alignment horizontal="center"/>
    </xf>
    <xf numFmtId="253" fontId="41" fillId="0" borderId="0">
      <alignment horizontal="center"/>
    </xf>
    <xf numFmtId="254" fontId="41" fillId="0" borderId="0" applyFill="0" applyBorder="0" applyProtection="0">
      <alignment horizontal="center"/>
    </xf>
    <xf numFmtId="251" fontId="99" fillId="0" borderId="0">
      <alignment horizontal="center"/>
    </xf>
    <xf numFmtId="180" fontId="94" fillId="0" borderId="20" applyNumberFormat="0" applyFont="0" applyFill="0" applyAlignment="0" applyProtection="0"/>
    <xf numFmtId="210" fontId="100" fillId="0" borderId="21"/>
    <xf numFmtId="211" fontId="57" fillId="0" borderId="0"/>
    <xf numFmtId="38" fontId="49" fillId="0" borderId="0" applyFont="0" applyFill="0" applyBorder="0" applyAlignment="0" applyProtection="0"/>
    <xf numFmtId="180" fontId="101" fillId="0" borderId="0" applyFont="0" applyFill="0" applyBorder="0" applyAlignment="0" applyProtection="0"/>
    <xf numFmtId="180" fontId="102" fillId="0" borderId="0" applyNumberFormat="0" applyAlignment="0">
      <alignment horizontal="left"/>
    </xf>
    <xf numFmtId="272" fontId="44" fillId="0" borderId="0"/>
    <xf numFmtId="273" fontId="44" fillId="0" borderId="0"/>
    <xf numFmtId="274" fontId="44" fillId="0" borderId="0"/>
    <xf numFmtId="275" fontId="44" fillId="0" borderId="0"/>
    <xf numFmtId="276" fontId="44" fillId="0" borderId="0"/>
    <xf numFmtId="277" fontId="44" fillId="0" borderId="0"/>
    <xf numFmtId="189" fontId="4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78" fontId="9" fillId="0" borderId="0" applyFont="0" applyFill="0" applyBorder="0" applyAlignment="0" applyProtection="0"/>
    <xf numFmtId="279" fontId="9" fillId="0" borderId="0" applyFont="0" applyFill="0" applyBorder="0" applyAlignment="0" applyProtection="0"/>
    <xf numFmtId="280" fontId="9" fillId="0" borderId="0" applyFont="0" applyFill="0" applyBorder="0" applyAlignment="0" applyProtection="0"/>
    <xf numFmtId="180" fontId="9" fillId="0" borderId="0" applyFon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89" fontId="105" fillId="0" borderId="0" applyNumberFormat="0" applyFill="0" applyBorder="0" applyAlignment="0" applyProtection="0"/>
    <xf numFmtId="0" fontId="41" fillId="79" borderId="0" applyNumberFormat="0" applyFont="0" applyBorder="0" applyAlignment="0" applyProtection="0"/>
    <xf numFmtId="0" fontId="41" fillId="79" borderId="0" applyNumberFormat="0" applyFont="0" applyBorder="0" applyAlignment="0" applyProtection="0"/>
    <xf numFmtId="0" fontId="106" fillId="0" borderId="0" applyNumberFormat="0" applyFill="0" applyBorder="0" applyAlignment="0" applyProtection="0"/>
    <xf numFmtId="281" fontId="107" fillId="0" borderId="0" applyFill="0" applyBorder="0"/>
    <xf numFmtId="15" fontId="18" fillId="0" borderId="0" applyFill="0" applyBorder="0" applyProtection="0">
      <alignment horizontal="center"/>
    </xf>
    <xf numFmtId="0" fontId="41" fillId="20" borderId="0" applyNumberFormat="0" applyFont="0" applyBorder="0" applyAlignment="0" applyProtection="0"/>
    <xf numFmtId="0" fontId="41" fillId="20" borderId="0" applyNumberFormat="0" applyFont="0" applyBorder="0" applyAlignment="0" applyProtection="0"/>
    <xf numFmtId="282" fontId="108" fillId="0" borderId="0" applyFill="0" applyBorder="0" applyProtection="0"/>
    <xf numFmtId="283" fontId="19" fillId="61" borderId="2" applyAlignment="0" applyProtection="0"/>
    <xf numFmtId="283" fontId="19" fillId="61" borderId="2" applyAlignment="0" applyProtection="0"/>
    <xf numFmtId="284" fontId="109" fillId="0" borderId="0" applyNumberFormat="0" applyFill="0" applyBorder="0" applyAlignment="0" applyProtection="0"/>
    <xf numFmtId="284" fontId="110" fillId="0" borderId="0" applyNumberFormat="0" applyFill="0" applyBorder="0" applyAlignment="0" applyProtection="0"/>
    <xf numFmtId="15" fontId="106" fillId="45" borderId="18">
      <alignment horizontal="center"/>
      <protection locked="0"/>
    </xf>
    <xf numFmtId="285" fontId="106" fillId="45" borderId="18" applyAlignment="0">
      <protection locked="0"/>
    </xf>
    <xf numFmtId="286" fontId="106" fillId="45" borderId="18" applyAlignment="0">
      <protection locked="0"/>
    </xf>
    <xf numFmtId="286" fontId="18" fillId="0" borderId="0" applyFill="0" applyBorder="0" applyAlignment="0" applyProtection="0"/>
    <xf numFmtId="287" fontId="18" fillId="0" borderId="0" applyFill="0" applyBorder="0" applyAlignment="0" applyProtection="0"/>
    <xf numFmtId="287" fontId="18" fillId="0" borderId="0" applyFill="0" applyBorder="0" applyAlignment="0" applyProtection="0"/>
    <xf numFmtId="288" fontId="18" fillId="0" borderId="0" applyFill="0" applyBorder="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28" borderId="0" applyNumberFormat="0" applyFont="0" applyBorder="0" applyAlignment="0" applyProtection="0"/>
    <xf numFmtId="0" fontId="41" fillId="28" borderId="0" applyNumberFormat="0" applyFont="0" applyBorder="0" applyAlignment="0" applyProtection="0"/>
    <xf numFmtId="191" fontId="9" fillId="0" borderId="0" applyFont="0" applyFill="0" applyBorder="0" applyAlignment="0" applyProtection="0"/>
    <xf numFmtId="164" fontId="9" fillId="0" borderId="0" applyFont="0" applyFill="0" applyBorder="0" applyAlignment="0" applyProtection="0"/>
    <xf numFmtId="289" fontId="9" fillId="0" borderId="0" applyFont="0" applyFill="0" applyBorder="0" applyAlignment="0" applyProtection="0"/>
    <xf numFmtId="290" fontId="9" fillId="0" borderId="0" applyFont="0" applyFill="0" applyBorder="0" applyProtection="0">
      <alignment vertical="top"/>
    </xf>
    <xf numFmtId="290" fontId="9" fillId="0" borderId="0" applyFont="0" applyFill="0" applyBorder="0" applyProtection="0">
      <alignment vertical="top"/>
    </xf>
    <xf numFmtId="290" fontId="9" fillId="0" borderId="0" applyFont="0" applyFill="0" applyBorder="0" applyProtection="0">
      <alignment vertical="top"/>
    </xf>
    <xf numFmtId="290" fontId="9" fillId="0" borderId="0" applyFont="0" applyFill="0" applyBorder="0" applyProtection="0">
      <alignment vertical="top"/>
    </xf>
    <xf numFmtId="1" fontId="111" fillId="84" borderId="24" applyNumberFormat="0" applyBorder="0" applyAlignment="0">
      <alignment horizontal="centerContinuous" vertical="center"/>
      <protection locked="0"/>
    </xf>
    <xf numFmtId="180" fontId="95" fillId="0" borderId="0">
      <protection locked="0"/>
    </xf>
    <xf numFmtId="251" fontId="112" fillId="0" borderId="0"/>
    <xf numFmtId="251" fontId="112" fillId="0" borderId="0"/>
    <xf numFmtId="180" fontId="113" fillId="0" borderId="0"/>
    <xf numFmtId="180" fontId="114" fillId="0" borderId="0" applyFill="0" applyBorder="0" applyProtection="0">
      <alignment horizontal="left"/>
    </xf>
    <xf numFmtId="4" fontId="115" fillId="0" borderId="0">
      <protection locked="0"/>
    </xf>
    <xf numFmtId="0" fontId="98" fillId="19" borderId="0" applyAlignment="0" applyProtection="0">
      <alignment horizontal="right" vertical="center"/>
    </xf>
    <xf numFmtId="252" fontId="116" fillId="0" borderId="0"/>
    <xf numFmtId="273" fontId="44" fillId="0" borderId="25"/>
    <xf numFmtId="291" fontId="44" fillId="46" borderId="11">
      <alignment horizontal="right"/>
    </xf>
    <xf numFmtId="292" fontId="9" fillId="0" borderId="0" applyFont="0" applyFill="0" applyBorder="0" applyAlignment="0" applyProtection="0"/>
    <xf numFmtId="293" fontId="117" fillId="0" borderId="0" applyFont="0" applyFill="0" applyBorder="0" applyAlignment="0" applyProtection="0"/>
    <xf numFmtId="294" fontId="9" fillId="0" borderId="0" applyFont="0" applyFill="0" applyBorder="0" applyAlignment="0" applyProtection="0"/>
    <xf numFmtId="295" fontId="117"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189" fontId="119" fillId="57" borderId="0" applyNumberFormat="0" applyBorder="0" applyAlignment="0" applyProtection="0"/>
    <xf numFmtId="2" fontId="120" fillId="50" borderId="11" applyProtection="0">
      <alignment horizontal="left"/>
      <protection locked="0"/>
    </xf>
    <xf numFmtId="38" fontId="53" fillId="46" borderId="0" applyNumberFormat="0" applyBorder="0" applyAlignment="0" applyProtection="0"/>
    <xf numFmtId="0" fontId="9" fillId="61" borderId="0" applyNumberFormat="0" applyFont="0" applyBorder="0" applyAlignment="0" applyProtection="0"/>
    <xf numFmtId="296" fontId="93" fillId="36" borderId="26" applyNumberFormat="0" applyFont="0" applyAlignment="0"/>
    <xf numFmtId="180" fontId="94" fillId="0" borderId="0" applyFont="0" applyFill="0" applyBorder="0" applyAlignment="0" applyProtection="0">
      <alignment horizontal="right"/>
    </xf>
    <xf numFmtId="180" fontId="121" fillId="0" borderId="0" applyProtection="0">
      <alignment horizontal="right"/>
    </xf>
    <xf numFmtId="180" fontId="78" fillId="0" borderId="27" applyNumberFormat="0" applyAlignment="0" applyProtection="0">
      <alignment horizontal="left" vertical="center"/>
    </xf>
    <xf numFmtId="180" fontId="78" fillId="0" borderId="28">
      <alignment horizontal="left" vertical="center"/>
    </xf>
    <xf numFmtId="2" fontId="74" fillId="76" borderId="0" applyAlignment="0">
      <alignment horizontal="right"/>
      <protection locked="0"/>
    </xf>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189" fontId="124" fillId="0" borderId="30"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189" fontId="127" fillId="0" borderId="31"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189" fontId="130" fillId="0" borderId="32" applyNumberFormat="0" applyFill="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189" fontId="130" fillId="0" borderId="0" applyNumberFormat="0" applyFill="0" applyBorder="0" applyAlignment="0" applyProtection="0"/>
    <xf numFmtId="180" fontId="41" fillId="0" borderId="0">
      <protection locked="0"/>
    </xf>
    <xf numFmtId="180" fontId="41" fillId="0" borderId="0">
      <protection locked="0"/>
    </xf>
    <xf numFmtId="297" fontId="131" fillId="0" borderId="0">
      <alignment horizontal="right"/>
    </xf>
    <xf numFmtId="298" fontId="61" fillId="0" borderId="0" applyAlignment="0">
      <alignment horizontal="right"/>
      <protection hidden="1"/>
    </xf>
    <xf numFmtId="180" fontId="106" fillId="0" borderId="33" applyNumberFormat="0" applyFill="0" applyAlignment="0" applyProtection="0"/>
    <xf numFmtId="204" fontId="132" fillId="0" borderId="0" applyNumberFormat="0" applyBorder="0" applyAlignment="0" applyProtection="0">
      <alignment horizontal="right" wrapText="1"/>
    </xf>
    <xf numFmtId="0" fontId="3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89"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89" fontId="140" fillId="0" borderId="0" applyNumberFormat="0" applyFill="0" applyBorder="0" applyAlignment="0" applyProtection="0">
      <alignment vertical="top"/>
      <protection locked="0"/>
    </xf>
    <xf numFmtId="180" fontId="141" fillId="0" borderId="0">
      <alignment wrapText="1"/>
    </xf>
    <xf numFmtId="10" fontId="53" fillId="36" borderId="26" applyNumberFormat="0" applyBorder="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189" fontId="144" fillId="60" borderId="34" applyNumberFormat="0" applyAlignment="0" applyProtection="0"/>
    <xf numFmtId="189" fontId="144" fillId="60" borderId="34" applyNumberFormat="0" applyAlignment="0" applyProtection="0"/>
    <xf numFmtId="0" fontId="53" fillId="0" borderId="0" applyNumberFormat="0" applyFill="0" applyBorder="0" applyAlignment="0">
      <protection locked="0"/>
    </xf>
    <xf numFmtId="0" fontId="145" fillId="34" borderId="0"/>
    <xf numFmtId="240" fontId="64" fillId="86" borderId="0">
      <protection locked="0"/>
    </xf>
    <xf numFmtId="299" fontId="41" fillId="0" borderId="0"/>
    <xf numFmtId="0" fontId="146" fillId="0" borderId="0"/>
    <xf numFmtId="38" fontId="147" fillId="0" borderId="0"/>
    <xf numFmtId="38" fontId="148" fillId="0" borderId="0"/>
    <xf numFmtId="38" fontId="149" fillId="0" borderId="0"/>
    <xf numFmtId="38" fontId="150" fillId="0" borderId="0"/>
    <xf numFmtId="0" fontId="67" fillId="0" borderId="0"/>
    <xf numFmtId="0" fontId="67" fillId="0" borderId="0"/>
    <xf numFmtId="0" fontId="67" fillId="0" borderId="0"/>
    <xf numFmtId="0" fontId="43" fillId="0" borderId="0"/>
    <xf numFmtId="0" fontId="151" fillId="0" borderId="0"/>
    <xf numFmtId="0" fontId="152" fillId="0" borderId="0">
      <alignment horizontal="center"/>
    </xf>
    <xf numFmtId="300" fontId="153" fillId="0" borderId="0" applyFont="0" applyFill="0" applyBorder="0" applyAlignment="0" applyProtection="0"/>
    <xf numFmtId="180" fontId="9" fillId="0" borderId="0" applyNumberFormat="0" applyFont="0" applyFill="0" applyBorder="0" applyProtection="0">
      <alignment horizontal="left" vertical="center"/>
    </xf>
    <xf numFmtId="168" fontId="36" fillId="2" borderId="0"/>
    <xf numFmtId="168" fontId="37" fillId="53" borderId="0"/>
    <xf numFmtId="180" fontId="53" fillId="46" borderId="0"/>
    <xf numFmtId="38" fontId="154" fillId="0" borderId="0" applyNumberFormat="0" applyFill="0" applyBorder="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189" fontId="157" fillId="0" borderId="36" applyNumberFormat="0" applyFill="0" applyAlignment="0" applyProtection="0"/>
    <xf numFmtId="0" fontId="98" fillId="87" borderId="0" applyAlignment="0" applyProtection="0">
      <alignment horizontal="right" vertical="center"/>
    </xf>
    <xf numFmtId="197" fontId="54" fillId="0" borderId="0" applyFont="0" applyFill="0" applyBorder="0" applyAlignment="0" applyProtection="0">
      <alignment horizontal="right"/>
    </xf>
    <xf numFmtId="301"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302"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40" fontId="158" fillId="0" borderId="0">
      <alignment horizontal="right"/>
    </xf>
    <xf numFmtId="37" fontId="159" fillId="0" borderId="0"/>
    <xf numFmtId="180" fontId="160" fillId="0" borderId="0">
      <alignment vertical="center"/>
    </xf>
    <xf numFmtId="180" fontId="9" fillId="0" borderId="0" applyNumberFormat="0" applyFill="0" applyBorder="0" applyAlignment="0" applyProtection="0"/>
    <xf numFmtId="164"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303" fontId="9" fillId="0" borderId="0" applyFont="0" applyFill="0" applyBorder="0" applyAlignment="0" applyProtection="0"/>
    <xf numFmtId="304" fontId="44" fillId="0" borderId="0">
      <alignment horizontal="right"/>
    </xf>
    <xf numFmtId="180" fontId="161" fillId="0" borderId="17"/>
    <xf numFmtId="305" fontId="49" fillId="0" borderId="0" applyFont="0" applyFill="0" applyBorder="0" applyAlignment="0" applyProtection="0"/>
    <xf numFmtId="306" fontId="4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307" fontId="53" fillId="36" borderId="0">
      <alignment horizontal="center"/>
    </xf>
    <xf numFmtId="308" fontId="41" fillId="0" borderId="0" applyFill="0" applyBorder="0" applyProtection="0">
      <alignment horizontal="center"/>
    </xf>
    <xf numFmtId="309" fontId="41" fillId="0" borderId="0" applyFont="0" applyFill="0" applyBorder="0" applyAlignment="0" applyProtection="0">
      <alignment horizontal="centerContinuous"/>
      <protection locked="0"/>
    </xf>
    <xf numFmtId="49" fontId="162" fillId="81" borderId="0" applyAlignment="0" applyProtection="0">
      <alignment horizontal="centerContinuous" vertical="center"/>
    </xf>
    <xf numFmtId="310" fontId="53" fillId="0" borderId="0" applyFont="0" applyFill="0" applyBorder="0" applyAlignment="0" applyProtection="0">
      <alignment horizontal="right"/>
    </xf>
    <xf numFmtId="0" fontId="81" fillId="0" borderId="0">
      <alignment horizontal="right"/>
    </xf>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189" fontId="164" fillId="18" borderId="0" applyNumberFormat="0" applyBorder="0" applyAlignment="0" applyProtection="0"/>
    <xf numFmtId="37" fontId="165" fillId="0" borderId="0"/>
    <xf numFmtId="297" fontId="166" fillId="0" borderId="0"/>
    <xf numFmtId="311" fontId="45" fillId="0" borderId="0"/>
    <xf numFmtId="311" fontId="45" fillId="0" borderId="9"/>
    <xf numFmtId="311" fontId="45" fillId="0" borderId="37"/>
    <xf numFmtId="311" fontId="45" fillId="0" borderId="0"/>
    <xf numFmtId="312" fontId="57" fillId="0" borderId="0"/>
    <xf numFmtId="313" fontId="57" fillId="0" borderId="0"/>
    <xf numFmtId="314" fontId="57" fillId="0" borderId="0"/>
    <xf numFmtId="315" fontId="53" fillId="0" borderId="0"/>
    <xf numFmtId="316" fontId="53" fillId="0" borderId="0"/>
    <xf numFmtId="38" fontId="9" fillId="0" borderId="0" applyFont="0" applyFill="0" applyBorder="0" applyAlignment="0" applyProtection="0"/>
    <xf numFmtId="0" fontId="7" fillId="0" borderId="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7"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2" fillId="0" borderId="0"/>
    <xf numFmtId="0" fontId="13" fillId="0" borderId="0"/>
    <xf numFmtId="18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9"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9" fillId="0" borderId="0"/>
    <xf numFmtId="18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18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24"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12" fillId="0" borderId="0"/>
    <xf numFmtId="0" fontId="12" fillId="0" borderId="0"/>
    <xf numFmtId="0" fontId="12" fillId="0" borderId="0"/>
    <xf numFmtId="0" fontId="12" fillId="0" borderId="0"/>
    <xf numFmtId="0" fontId="12" fillId="0" borderId="0"/>
    <xf numFmtId="18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0" fontId="9" fillId="0" borderId="0"/>
    <xf numFmtId="0" fontId="12" fillId="0" borderId="0" applyFont="0" applyFill="0" applyBorder="0" applyAlignment="0" applyProtection="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12" fillId="0" borderId="0"/>
    <xf numFmtId="0" fontId="12" fillId="0" borderId="0" applyFont="0" applyFill="0" applyBorder="0" applyAlignment="0" applyProtection="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9"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10" fillId="0" borderId="0"/>
    <xf numFmtId="189" fontId="10"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6" fillId="0" borderId="0"/>
    <xf numFmtId="0" fontId="9" fillId="0" borderId="0"/>
    <xf numFmtId="180" fontId="9"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189"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4" fontId="7" fillId="0" borderId="0"/>
    <xf numFmtId="174" fontId="24" fillId="0" borderId="0"/>
    <xf numFmtId="174" fontId="24" fillId="0" borderId="0"/>
    <xf numFmtId="174" fontId="24" fillId="0" borderId="0"/>
    <xf numFmtId="174" fontId="24" fillId="0" borderId="0"/>
    <xf numFmtId="174" fontId="24" fillId="0" borderId="0"/>
    <xf numFmtId="174" fontId="7" fillId="0" borderId="0"/>
    <xf numFmtId="174" fontId="24" fillId="0" borderId="0"/>
    <xf numFmtId="174" fontId="24" fillId="0" borderId="0"/>
    <xf numFmtId="174" fontId="24" fillId="0" borderId="0"/>
    <xf numFmtId="174" fontId="24" fillId="0" borderId="0"/>
    <xf numFmtId="174" fontId="7" fillId="0" borderId="0"/>
    <xf numFmtId="174" fontId="7" fillId="0" borderId="0"/>
    <xf numFmtId="174" fontId="7" fillId="0" borderId="0"/>
    <xf numFmtId="174" fontId="7" fillId="0" borderId="0"/>
    <xf numFmtId="174" fontId="24" fillId="0" borderId="0"/>
    <xf numFmtId="174" fontId="24" fillId="0" borderId="0"/>
    <xf numFmtId="174" fontId="24" fillId="0" borderId="0"/>
    <xf numFmtId="174" fontId="24" fillId="0" borderId="0"/>
    <xf numFmtId="174" fontId="7" fillId="0" borderId="0"/>
    <xf numFmtId="174" fontId="7" fillId="0" borderId="0"/>
    <xf numFmtId="174" fontId="7" fillId="0" borderId="0"/>
    <xf numFmtId="174" fontId="7" fillId="0" borderId="0"/>
    <xf numFmtId="174" fontId="24" fillId="0" borderId="0"/>
    <xf numFmtId="174" fontId="24" fillId="0" borderId="0"/>
    <xf numFmtId="174"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9" fontId="7" fillId="0" borderId="0"/>
    <xf numFmtId="0" fontId="28" fillId="0" borderId="0" applyFill="0" applyBorder="0" applyAlignment="0" applyProtection="0"/>
    <xf numFmtId="0" fontId="28"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24" fillId="0" borderId="0"/>
    <xf numFmtId="0" fontId="9" fillId="0" borderId="0"/>
    <xf numFmtId="0" fontId="9" fillId="0" borderId="0"/>
    <xf numFmtId="0" fontId="7" fillId="0" borderId="0"/>
    <xf numFmtId="0" fontId="9"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8" fillId="0" borderId="0"/>
    <xf numFmtId="0" fontId="9" fillId="0" borderId="0" applyNumberFormat="0" applyFont="0" applyFill="0" applyBorder="0" applyAlignment="0" applyProtection="0"/>
    <xf numFmtId="0" fontId="18" fillId="0" borderId="0"/>
    <xf numFmtId="0" fontId="18" fillId="0" borderId="0"/>
    <xf numFmtId="0" fontId="18" fillId="0" borderId="0"/>
    <xf numFmtId="0" fontId="6" fillId="0" borderId="0"/>
    <xf numFmtId="0" fontId="28" fillId="0" borderId="0"/>
    <xf numFmtId="0" fontId="28" fillId="0" borderId="0"/>
    <xf numFmtId="0" fontId="9" fillId="0" borderId="0" applyNumberFormat="0" applyFont="0" applyFill="0" applyBorder="0" applyAlignment="0" applyProtection="0"/>
    <xf numFmtId="0" fontId="28"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8"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25"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317" fontId="55" fillId="0" borderId="37"/>
    <xf numFmtId="0" fontId="106" fillId="0" borderId="0" applyFill="0" applyBorder="0">
      <protection locked="0"/>
    </xf>
    <xf numFmtId="180" fontId="9" fillId="0" borderId="0"/>
    <xf numFmtId="180" fontId="168" fillId="0" borderId="0"/>
    <xf numFmtId="180" fontId="169" fillId="0" borderId="0"/>
    <xf numFmtId="180" fontId="170" fillId="0" borderId="0"/>
    <xf numFmtId="180" fontId="171" fillId="0" borderId="0"/>
    <xf numFmtId="180" fontId="50" fillId="0" borderId="0"/>
    <xf numFmtId="38" fontId="172" fillId="0" borderId="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189" fontId="9" fillId="34" borderId="38" applyNumberFormat="0" applyFont="0" applyAlignment="0" applyProtection="0"/>
    <xf numFmtId="189" fontId="9" fillId="34" borderId="38" applyNumberFormat="0" applyFont="0" applyAlignment="0" applyProtection="0"/>
    <xf numFmtId="0" fontId="173" fillId="83" borderId="0" applyAlignment="0" applyProtection="0">
      <alignment horizontal="left" vertical="top" wrapText="1"/>
    </xf>
    <xf numFmtId="284" fontId="9" fillId="45" borderId="39" applyFont="0" applyFill="0" applyBorder="0" applyAlignment="0" applyProtection="0">
      <protection locked="0"/>
    </xf>
    <xf numFmtId="37" fontId="9" fillId="0" borderId="0"/>
    <xf numFmtId="318" fontId="40" fillId="50" borderId="40" applyNumberFormat="0">
      <alignment vertical="center"/>
    </xf>
    <xf numFmtId="318" fontId="40" fillId="88" borderId="40" applyNumberFormat="0">
      <alignment vertical="center"/>
    </xf>
    <xf numFmtId="318" fontId="40" fillId="40" borderId="40" applyNumberFormat="0">
      <alignment vertical="center"/>
    </xf>
    <xf numFmtId="318" fontId="40" fillId="38" borderId="40" applyNumberFormat="0">
      <alignment vertical="center"/>
    </xf>
    <xf numFmtId="318" fontId="40" fillId="89" borderId="40" applyNumberFormat="0">
      <alignment vertical="center"/>
    </xf>
    <xf numFmtId="318" fontId="40" fillId="46" borderId="40" applyNumberFormat="0">
      <alignment vertical="center"/>
    </xf>
    <xf numFmtId="318" fontId="40" fillId="90" borderId="40" applyNumberFormat="0">
      <alignment vertical="center"/>
    </xf>
    <xf numFmtId="318" fontId="40" fillId="80" borderId="40" applyNumberFormat="0">
      <alignment vertical="center"/>
    </xf>
    <xf numFmtId="318" fontId="40" fillId="91" borderId="40" applyNumberFormat="0">
      <alignment vertical="center"/>
    </xf>
    <xf numFmtId="318" fontId="40" fillId="92" borderId="40" applyNumberFormat="0">
      <alignment vertical="center"/>
    </xf>
    <xf numFmtId="318" fontId="174" fillId="45" borderId="40">
      <protection locked="0"/>
    </xf>
    <xf numFmtId="318" fontId="174" fillId="37" borderId="40">
      <protection locked="0"/>
    </xf>
    <xf numFmtId="318" fontId="175" fillId="37" borderId="41" applyNumberFormat="0" applyFont="0" applyFill="0" applyAlignment="0" applyProtection="0">
      <protection locked="0"/>
    </xf>
    <xf numFmtId="318" fontId="81" fillId="0" borderId="0" applyNumberFormat="0" applyFill="0">
      <alignment horizontal="left" vertical="top"/>
    </xf>
    <xf numFmtId="0" fontId="176" fillId="93" borderId="0" applyNumberFormat="0">
      <alignment horizontal="left" vertical="center" indent="1"/>
    </xf>
    <xf numFmtId="0" fontId="177" fillId="94" borderId="0" applyNumberFormat="0">
      <alignment vertical="center"/>
    </xf>
    <xf numFmtId="0" fontId="78" fillId="46" borderId="0">
      <alignment vertical="center"/>
    </xf>
    <xf numFmtId="0" fontId="178" fillId="0" borderId="42">
      <alignment vertical="center"/>
    </xf>
    <xf numFmtId="0" fontId="39" fillId="95" borderId="26" applyNumberFormat="0" applyFont="0" applyAlignment="0">
      <alignment vertical="center"/>
    </xf>
    <xf numFmtId="0" fontId="39" fillId="45" borderId="26" applyNumberFormat="0" applyFont="0" applyAlignment="0">
      <alignment vertical="center"/>
    </xf>
    <xf numFmtId="0" fontId="39" fillId="37" borderId="26" applyNumberFormat="0" applyFont="0" applyAlignment="0">
      <alignment vertical="center"/>
    </xf>
    <xf numFmtId="0" fontId="39" fillId="96" borderId="26" applyNumberFormat="0" applyFont="0" applyAlignment="0">
      <alignment vertical="center"/>
    </xf>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97" borderId="0">
      <alignment horizontal="right"/>
    </xf>
    <xf numFmtId="0" fontId="179" fillId="0" borderId="0">
      <alignment horizontal="left"/>
    </xf>
    <xf numFmtId="3" fontId="180" fillId="0" borderId="0" applyFill="0" applyBorder="0" applyAlignment="0" applyProtection="0"/>
    <xf numFmtId="180" fontId="181" fillId="12" borderId="43" applyNumberFormat="0" applyBorder="0" applyAlignment="0">
      <alignment horizontal="center"/>
      <protection hidden="1"/>
    </xf>
    <xf numFmtId="180" fontId="182" fillId="0" borderId="43" applyNumberFormat="0" applyBorder="0" applyAlignment="0">
      <alignment horizontal="center"/>
      <protection locked="0"/>
    </xf>
    <xf numFmtId="2" fontId="183" fillId="50" borderId="11">
      <alignment horizontal="left"/>
    </xf>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189" fontId="185" fillId="61" borderId="44" applyNumberFormat="0" applyAlignment="0" applyProtection="0"/>
    <xf numFmtId="189" fontId="185" fillId="61" borderId="44" applyNumberFormat="0" applyAlignment="0" applyProtection="0"/>
    <xf numFmtId="40" fontId="18" fillId="33" borderId="0">
      <alignment horizontal="right"/>
    </xf>
    <xf numFmtId="180" fontId="186" fillId="98" borderId="0">
      <alignment horizontal="center"/>
    </xf>
    <xf numFmtId="180" fontId="187" fillId="99" borderId="0"/>
    <xf numFmtId="180" fontId="188" fillId="33" borderId="0" applyBorder="0">
      <alignment horizontal="centerContinuous"/>
    </xf>
    <xf numFmtId="180" fontId="189" fillId="99" borderId="0" applyBorder="0">
      <alignment horizontal="centerContinuous"/>
    </xf>
    <xf numFmtId="319" fontId="9" fillId="0" borderId="0"/>
    <xf numFmtId="319" fontId="9" fillId="0" borderId="0"/>
    <xf numFmtId="319" fontId="9" fillId="0" borderId="0"/>
    <xf numFmtId="319" fontId="9" fillId="0" borderId="0"/>
    <xf numFmtId="171" fontId="9" fillId="0" borderId="0"/>
    <xf numFmtId="171" fontId="9" fillId="0" borderId="0"/>
    <xf numFmtId="171" fontId="9" fillId="0" borderId="0"/>
    <xf numFmtId="171" fontId="9" fillId="0" borderId="0"/>
    <xf numFmtId="171" fontId="9" fillId="0" borderId="0"/>
    <xf numFmtId="319" fontId="9" fillId="0" borderId="0"/>
    <xf numFmtId="180" fontId="41" fillId="100" borderId="0" applyNumberFormat="0" applyFont="0" applyBorder="0" applyAlignment="0"/>
    <xf numFmtId="1" fontId="190" fillId="0" borderId="0" applyProtection="0">
      <alignment horizontal="right" vertical="center"/>
    </xf>
    <xf numFmtId="193" fontId="191" fillId="0" borderId="0">
      <alignment horizontal="left"/>
    </xf>
    <xf numFmtId="320" fontId="44" fillId="0" borderId="0"/>
    <xf numFmtId="321" fontId="44" fillId="0" borderId="0"/>
    <xf numFmtId="255" fontId="9" fillId="0" borderId="0" applyFont="0" applyFill="0" applyBorder="0" applyAlignment="0" applyProtection="0"/>
    <xf numFmtId="322" fontId="9" fillId="0" borderId="0" applyFont="0" applyFill="0" applyBorder="0" applyAlignment="0" applyProtection="0"/>
    <xf numFmtId="170" fontId="45" fillId="0" borderId="0" applyFont="0" applyFill="0" applyBorder="0" applyAlignment="0" applyProtection="0">
      <protection locked="0"/>
    </xf>
    <xf numFmtId="10" fontId="45" fillId="0" borderId="0" applyFont="0" applyFill="0" applyBorder="0" applyAlignment="0" applyProtection="0">
      <protection locked="0"/>
    </xf>
    <xf numFmtId="10" fontId="9"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3" fontId="57" fillId="0" borderId="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24" fontId="64" fillId="80" borderId="0" applyBorder="0" applyAlignment="0">
      <protection locked="0"/>
    </xf>
    <xf numFmtId="9" fontId="57" fillId="0" borderId="0"/>
    <xf numFmtId="170" fontId="57" fillId="0" borderId="0"/>
    <xf numFmtId="10" fontId="57" fillId="0" borderId="0"/>
    <xf numFmtId="325" fontId="9" fillId="0" borderId="0" applyFont="0" applyFill="0" applyBorder="0" applyAlignment="0" applyProtection="0"/>
    <xf numFmtId="326" fontId="55" fillId="0" borderId="0"/>
    <xf numFmtId="327" fontId="55" fillId="0" borderId="0"/>
    <xf numFmtId="327" fontId="57" fillId="0" borderId="0"/>
    <xf numFmtId="328" fontId="9" fillId="0" borderId="0" applyBorder="0">
      <alignment horizontal="right"/>
    </xf>
    <xf numFmtId="329" fontId="53" fillId="0" borderId="0" applyBorder="0"/>
    <xf numFmtId="10" fontId="9" fillId="50" borderId="0"/>
    <xf numFmtId="180" fontId="9" fillId="0" borderId="0">
      <protection locked="0"/>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330" fontId="7" fillId="101" borderId="6">
      <alignment vertical="center"/>
    </xf>
    <xf numFmtId="0"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7" fillId="101"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101" borderId="6">
      <alignment vertical="center"/>
    </xf>
    <xf numFmtId="167" fontId="7" fillId="101" borderId="6">
      <alignment vertical="center"/>
    </xf>
    <xf numFmtId="0" fontId="24" fillId="101" borderId="6">
      <alignment vertical="center"/>
    </xf>
    <xf numFmtId="167" fontId="7" fillId="101" borderId="6">
      <alignment vertical="center"/>
    </xf>
    <xf numFmtId="0" fontId="24" fillId="101" borderId="6">
      <alignment vertical="center"/>
    </xf>
    <xf numFmtId="167" fontId="7" fillId="101" borderId="6">
      <alignment vertical="center"/>
    </xf>
    <xf numFmtId="0" fontId="24" fillId="101" borderId="6">
      <alignment vertical="center"/>
    </xf>
    <xf numFmtId="167"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171" fontId="7" fillId="101" borderId="6">
      <alignment vertical="center"/>
    </xf>
    <xf numFmtId="167"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0" fontId="9" fillId="32" borderId="3" applyNumberFormat="0" applyProtection="0">
      <alignment horizontal="left" vertical="center" indent="1"/>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24" fillId="90"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101" borderId="6">
      <alignment vertical="center"/>
    </xf>
    <xf numFmtId="171" fontId="7" fillId="101" borderId="6">
      <alignment vertical="center"/>
    </xf>
    <xf numFmtId="171" fontId="24" fillId="101" borderId="6">
      <alignment vertical="center"/>
    </xf>
    <xf numFmtId="171" fontId="7" fillId="101" borderId="6">
      <alignment vertical="center"/>
    </xf>
    <xf numFmtId="171" fontId="24" fillId="101" borderId="6">
      <alignment vertical="center"/>
    </xf>
    <xf numFmtId="171" fontId="7"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67" fontId="24" fillId="90"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101" borderId="6">
      <alignment vertical="center"/>
    </xf>
    <xf numFmtId="167" fontId="7" fillId="101" borderId="6">
      <alignment vertical="center"/>
    </xf>
    <xf numFmtId="171" fontId="24" fillId="101" borderId="6">
      <alignment vertical="center"/>
    </xf>
    <xf numFmtId="167" fontId="7" fillId="101" borderId="6">
      <alignment vertical="center"/>
    </xf>
    <xf numFmtId="171" fontId="24" fillId="101" borderId="6">
      <alignment vertical="center"/>
    </xf>
    <xf numFmtId="167" fontId="7" fillId="101" borderId="6">
      <alignment vertical="center"/>
    </xf>
    <xf numFmtId="171" fontId="24" fillId="101" borderId="6">
      <alignment vertical="center"/>
    </xf>
    <xf numFmtId="167"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71"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67"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24" fillId="90"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24" fillId="90"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9" fillId="0" borderId="0" applyNumberFormat="0" applyFont="0" applyFill="0" applyBorder="0" applyAlignment="0" applyProtection="0"/>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24" fillId="90"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101" borderId="6">
      <alignment vertical="center"/>
    </xf>
    <xf numFmtId="331" fontId="7" fillId="101" borderId="6">
      <alignment vertical="center"/>
    </xf>
    <xf numFmtId="171" fontId="24" fillId="101" borderId="6">
      <alignment vertical="center"/>
    </xf>
    <xf numFmtId="331" fontId="7" fillId="101" borderId="6">
      <alignment vertical="center"/>
    </xf>
    <xf numFmtId="171" fontId="24" fillId="101" borderId="6">
      <alignment vertical="center"/>
    </xf>
    <xf numFmtId="331" fontId="7" fillId="101" borderId="6">
      <alignment vertical="center"/>
    </xf>
    <xf numFmtId="171" fontId="24" fillId="101" borderId="6">
      <alignment vertical="center"/>
    </xf>
    <xf numFmtId="33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101" borderId="6">
      <alignment vertical="center"/>
    </xf>
    <xf numFmtId="331"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101" borderId="6">
      <alignment vertical="center"/>
    </xf>
    <xf numFmtId="331" fontId="24"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101" borderId="6">
      <alignment vertical="center"/>
    </xf>
    <xf numFmtId="171" fontId="7" fillId="101" borderId="6">
      <alignment vertical="center"/>
    </xf>
    <xf numFmtId="0" fontId="24" fillId="101" borderId="6">
      <alignment vertical="center"/>
    </xf>
    <xf numFmtId="171" fontId="7" fillId="101" borderId="6">
      <alignment vertical="center"/>
    </xf>
    <xf numFmtId="0" fontId="24" fillId="101" borderId="6">
      <alignment vertical="center"/>
    </xf>
    <xf numFmtId="171" fontId="7" fillId="101" borderId="6">
      <alignment vertical="center"/>
    </xf>
    <xf numFmtId="0" fontId="24" fillId="101" borderId="6">
      <alignment vertical="center"/>
    </xf>
    <xf numFmtId="171" fontId="7" fillId="101" borderId="6">
      <alignment vertical="center"/>
    </xf>
    <xf numFmtId="0" fontId="7" fillId="101" borderId="6">
      <alignment vertical="center"/>
    </xf>
    <xf numFmtId="0" fontId="7" fillId="101" borderId="6">
      <alignment vertical="center"/>
    </xf>
    <xf numFmtId="0"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332" fontId="44" fillId="0" borderId="0">
      <alignment horizontal="right"/>
    </xf>
    <xf numFmtId="40" fontId="9" fillId="0" borderId="0"/>
    <xf numFmtId="1" fontId="192" fillId="46" borderId="0">
      <alignment horizontal="center"/>
    </xf>
    <xf numFmtId="180"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180" fontId="193" fillId="0" borderId="17">
      <alignment horizontal="center"/>
    </xf>
    <xf numFmtId="3" fontId="49" fillId="0" borderId="0" applyFont="0" applyFill="0" applyBorder="0" applyAlignment="0" applyProtection="0"/>
    <xf numFmtId="180" fontId="49" fillId="102" borderId="0" applyNumberFormat="0" applyFont="0" applyBorder="0" applyAlignment="0" applyProtection="0"/>
    <xf numFmtId="333" fontId="44" fillId="46" borderId="0"/>
    <xf numFmtId="334" fontId="20" fillId="46" borderId="0" applyFill="0"/>
    <xf numFmtId="180" fontId="194" fillId="0" borderId="0">
      <alignment horizontal="left" indent="7"/>
    </xf>
    <xf numFmtId="180" fontId="20" fillId="0" borderId="0" applyFill="0">
      <alignment horizontal="left" indent="7"/>
    </xf>
    <xf numFmtId="334" fontId="64" fillId="0" borderId="28">
      <alignment horizontal="right"/>
    </xf>
    <xf numFmtId="180" fontId="64" fillId="0" borderId="26" applyNumberFormat="0" applyFont="0" applyBorder="0">
      <alignment horizontal="right"/>
    </xf>
    <xf numFmtId="180" fontId="195" fillId="0" borderId="0" applyFill="0"/>
    <xf numFmtId="180" fontId="64" fillId="0" borderId="0" applyFill="0"/>
    <xf numFmtId="334" fontId="17" fillId="0" borderId="28" applyFill="0"/>
    <xf numFmtId="180" fontId="9" fillId="0" borderId="0" applyNumberFormat="0" applyFont="0" applyBorder="0" applyAlignment="0"/>
    <xf numFmtId="180" fontId="196" fillId="0" borderId="0" applyFill="0">
      <alignment horizontal="left" indent="1"/>
    </xf>
    <xf numFmtId="180" fontId="17" fillId="0" borderId="0">
      <alignment horizontal="left" indent="1"/>
    </xf>
    <xf numFmtId="334" fontId="64" fillId="0" borderId="28" applyFill="0"/>
    <xf numFmtId="180" fontId="9" fillId="0" borderId="0" applyNumberFormat="0" applyFont="0" applyFill="0" applyBorder="0" applyAlignment="0"/>
    <xf numFmtId="180" fontId="195" fillId="0" borderId="0" applyFill="0">
      <alignment horizontal="left" indent="2"/>
    </xf>
    <xf numFmtId="180" fontId="64" fillId="0" borderId="0" applyFill="0">
      <alignment horizontal="left" indent="2"/>
    </xf>
    <xf numFmtId="334" fontId="17" fillId="0" borderId="28" applyFill="0"/>
    <xf numFmtId="180" fontId="9" fillId="0" borderId="0" applyNumberFormat="0" applyFont="0" applyBorder="0" applyAlignment="0"/>
    <xf numFmtId="180" fontId="196" fillId="0" borderId="0">
      <alignment horizontal="left" indent="3"/>
    </xf>
    <xf numFmtId="180" fontId="17" fillId="0" borderId="0" applyFill="0">
      <alignment horizontal="left" indent="3"/>
    </xf>
    <xf numFmtId="334" fontId="64" fillId="0" borderId="28" applyFill="0"/>
    <xf numFmtId="180" fontId="9" fillId="0" borderId="0" applyNumberFormat="0" applyFont="0" applyBorder="0" applyAlignment="0"/>
    <xf numFmtId="180" fontId="195" fillId="0" borderId="0">
      <alignment horizontal="left" indent="4"/>
    </xf>
    <xf numFmtId="180" fontId="64" fillId="0" borderId="0" applyFill="0">
      <alignment horizontal="left" indent="4"/>
    </xf>
    <xf numFmtId="334" fontId="17" fillId="0" borderId="28" applyFill="0"/>
    <xf numFmtId="180" fontId="9" fillId="0" borderId="0" applyNumberFormat="0" applyFont="0" applyBorder="0" applyAlignment="0"/>
    <xf numFmtId="180" fontId="196" fillId="0" borderId="0">
      <alignment horizontal="left" indent="5"/>
    </xf>
    <xf numFmtId="180" fontId="17" fillId="0" borderId="0" applyFill="0">
      <alignment horizontal="left" indent="5"/>
    </xf>
    <xf numFmtId="334" fontId="64" fillId="0" borderId="28" applyFill="0"/>
    <xf numFmtId="180" fontId="9" fillId="0" borderId="0" applyNumberFormat="0" applyFont="0" applyFill="0" applyBorder="0" applyAlignment="0"/>
    <xf numFmtId="180" fontId="64" fillId="0" borderId="0" applyFill="0">
      <alignment horizontal="left" indent="6"/>
    </xf>
    <xf numFmtId="335" fontId="44" fillId="46" borderId="11">
      <alignment horizontal="right"/>
    </xf>
    <xf numFmtId="0" fontId="197" fillId="0" borderId="0"/>
    <xf numFmtId="14" fontId="198" fillId="0" borderId="0" applyNumberFormat="0" applyFill="0" applyBorder="0" applyAlignment="0" applyProtection="0">
      <alignment horizontal="left"/>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33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 borderId="26">
      <alignment vertical="center"/>
      <protection locked="0"/>
    </xf>
    <xf numFmtId="171" fontId="7" fillId="3" borderId="26">
      <alignment vertical="center"/>
      <protection locked="0"/>
    </xf>
    <xf numFmtId="167" fontId="24" fillId="3" borderId="26">
      <alignment vertical="center"/>
      <protection locked="0"/>
    </xf>
    <xf numFmtId="171" fontId="7" fillId="3" borderId="26">
      <alignment vertical="center"/>
      <protection locked="0"/>
    </xf>
    <xf numFmtId="167" fontId="24" fillId="3" borderId="26">
      <alignment vertical="center"/>
      <protection locked="0"/>
    </xf>
    <xf numFmtId="171" fontId="7" fillId="3" borderId="26">
      <alignment vertical="center"/>
      <protection locked="0"/>
    </xf>
    <xf numFmtId="167" fontId="24" fillId="3" borderId="26">
      <alignment vertical="center"/>
      <protection locked="0"/>
    </xf>
    <xf numFmtId="171"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 borderId="26">
      <alignment vertical="center"/>
      <protection locked="0"/>
    </xf>
    <xf numFmtId="171" fontId="24"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 borderId="26">
      <alignment vertical="center"/>
      <protection locked="0"/>
    </xf>
    <xf numFmtId="171" fontId="24"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67"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6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67"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 borderId="26">
      <alignment vertical="center"/>
      <protection locked="0"/>
    </xf>
    <xf numFmtId="167" fontId="7" fillId="3" borderId="26">
      <alignment vertical="center"/>
      <protection locked="0"/>
    </xf>
    <xf numFmtId="167" fontId="24" fillId="3" borderId="26">
      <alignment vertical="center"/>
      <protection locked="0"/>
    </xf>
    <xf numFmtId="167" fontId="7" fillId="3" borderId="26">
      <alignment vertical="center"/>
      <protection locked="0"/>
    </xf>
    <xf numFmtId="167" fontId="24" fillId="3" borderId="26">
      <alignment vertical="center"/>
      <protection locked="0"/>
    </xf>
    <xf numFmtId="167" fontId="7"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 borderId="26">
      <alignment vertical="center"/>
      <protection locked="0"/>
    </xf>
    <xf numFmtId="171" fontId="24"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 borderId="26">
      <alignment vertical="center"/>
      <protection locked="0"/>
    </xf>
    <xf numFmtId="171" fontId="24"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7" fillId="43"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9" fontId="24" fillId="38"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6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67" fontId="24" fillId="43" borderId="26">
      <alignment vertical="center"/>
    </xf>
    <xf numFmtId="337" fontId="7" fillId="43" borderId="26">
      <alignment vertical="center"/>
    </xf>
    <xf numFmtId="167" fontId="24" fillId="43" borderId="26">
      <alignment vertical="center"/>
    </xf>
    <xf numFmtId="337" fontId="7" fillId="43" borderId="26">
      <alignment vertical="center"/>
    </xf>
    <xf numFmtId="167" fontId="24" fillId="43" borderId="26">
      <alignment vertical="center"/>
    </xf>
    <xf numFmtId="33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3" borderId="26">
      <alignment vertical="center"/>
    </xf>
    <xf numFmtId="331" fontId="24"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43" borderId="26">
      <alignment vertical="center"/>
    </xf>
    <xf numFmtId="331" fontId="24"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43" borderId="26">
      <alignment vertical="center"/>
    </xf>
    <xf numFmtId="337" fontId="7" fillId="43" borderId="26">
      <alignment vertical="center"/>
    </xf>
    <xf numFmtId="171" fontId="24" fillId="43" borderId="26">
      <alignment vertical="center"/>
    </xf>
    <xf numFmtId="337" fontId="7" fillId="43" borderId="26">
      <alignment vertical="center"/>
    </xf>
    <xf numFmtId="171" fontId="24" fillId="43" borderId="26">
      <alignment vertical="center"/>
    </xf>
    <xf numFmtId="337" fontId="7" fillId="43" borderId="26">
      <alignment vertical="center"/>
    </xf>
    <xf numFmtId="171" fontId="24" fillId="43" borderId="26">
      <alignment vertical="center"/>
    </xf>
    <xf numFmtId="337"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0" fontId="9" fillId="0" borderId="0" applyNumberFormat="0" applyFont="0" applyFill="0" applyBorder="0" applyAlignment="0" applyProtection="0"/>
    <xf numFmtId="171" fontId="7" fillId="43" borderId="26">
      <alignment vertical="center"/>
    </xf>
    <xf numFmtId="171" fontId="24" fillId="38" borderId="26">
      <alignment vertical="center"/>
    </xf>
    <xf numFmtId="171" fontId="7" fillId="43" borderId="26">
      <alignment vertical="center"/>
    </xf>
    <xf numFmtId="171" fontId="24" fillId="38" borderId="26">
      <alignment vertical="center"/>
    </xf>
    <xf numFmtId="171" fontId="7" fillId="43" borderId="26">
      <alignment vertical="center"/>
    </xf>
    <xf numFmtId="171" fontId="24" fillId="38" borderId="26">
      <alignment vertical="center"/>
    </xf>
    <xf numFmtId="171" fontId="7" fillId="43" borderId="26">
      <alignment vertical="center"/>
    </xf>
    <xf numFmtId="171" fontId="24" fillId="38" borderId="26">
      <alignment vertical="center"/>
    </xf>
    <xf numFmtId="171" fontId="7" fillId="43" borderId="26">
      <alignment vertical="center"/>
    </xf>
    <xf numFmtId="171" fontId="24" fillId="38"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71" fontId="24" fillId="38"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1"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1" fontId="24" fillId="38" borderId="26">
      <alignment vertical="center"/>
    </xf>
    <xf numFmtId="337" fontId="7" fillId="43" borderId="26">
      <alignment vertical="center"/>
    </xf>
    <xf numFmtId="171"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43" borderId="26">
      <alignment vertical="center"/>
    </xf>
    <xf numFmtId="171" fontId="7" fillId="43" borderId="26">
      <alignment vertical="center"/>
    </xf>
    <xf numFmtId="0" fontId="24" fillId="43" borderId="26">
      <alignment vertical="center"/>
    </xf>
    <xf numFmtId="171" fontId="7" fillId="43" borderId="26">
      <alignment vertical="center"/>
    </xf>
    <xf numFmtId="0" fontId="24" fillId="43" borderId="26">
      <alignment vertical="center"/>
    </xf>
    <xf numFmtId="171" fontId="7" fillId="43" borderId="26">
      <alignment vertical="center"/>
    </xf>
    <xf numFmtId="0" fontId="24" fillId="43" borderId="26">
      <alignment vertical="center"/>
    </xf>
    <xf numFmtId="171" fontId="7" fillId="43" borderId="26">
      <alignment vertical="center"/>
    </xf>
    <xf numFmtId="0" fontId="7" fillId="43" borderId="26">
      <alignment vertical="center"/>
    </xf>
    <xf numFmtId="0" fontId="7" fillId="43" borderId="26">
      <alignment vertical="center"/>
    </xf>
    <xf numFmtId="0"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24" fillId="38"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43" borderId="26">
      <alignment vertical="center"/>
    </xf>
    <xf numFmtId="171" fontId="7" fillId="43" borderId="26">
      <alignment vertical="center"/>
    </xf>
    <xf numFmtId="167" fontId="24" fillId="43" borderId="26">
      <alignment vertical="center"/>
    </xf>
    <xf numFmtId="171" fontId="7" fillId="43" borderId="26">
      <alignment vertical="center"/>
    </xf>
    <xf numFmtId="167" fontId="24" fillId="43" borderId="26">
      <alignment vertical="center"/>
    </xf>
    <xf numFmtId="171" fontId="7" fillId="43" borderId="26">
      <alignment vertical="center"/>
    </xf>
    <xf numFmtId="167" fontId="24" fillId="43" borderId="26">
      <alignment vertical="center"/>
    </xf>
    <xf numFmtId="171"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67"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24" fillId="38"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7" fillId="44"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44" borderId="26">
      <alignment horizontal="right" vertical="center"/>
      <protection locked="0"/>
    </xf>
    <xf numFmtId="331" fontId="7" fillId="44" borderId="26">
      <alignment horizontal="right" vertical="center"/>
      <protection locked="0"/>
    </xf>
    <xf numFmtId="171" fontId="24" fillId="44" borderId="26">
      <alignment horizontal="right" vertical="center"/>
      <protection locked="0"/>
    </xf>
    <xf numFmtId="331" fontId="7" fillId="44" borderId="26">
      <alignment horizontal="right" vertical="center"/>
      <protection locked="0"/>
    </xf>
    <xf numFmtId="171" fontId="24" fillId="44" borderId="26">
      <alignment horizontal="right" vertical="center"/>
      <protection locked="0"/>
    </xf>
    <xf numFmtId="331" fontId="7" fillId="44" borderId="26">
      <alignment horizontal="right" vertical="center"/>
      <protection locked="0"/>
    </xf>
    <xf numFmtId="171" fontId="24" fillId="44" borderId="26">
      <alignment horizontal="right" vertical="center"/>
      <protection locked="0"/>
    </xf>
    <xf numFmtId="33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44" borderId="26">
      <alignment horizontal="right" vertical="center"/>
      <protection locked="0"/>
    </xf>
    <xf numFmtId="171" fontId="7" fillId="44" borderId="26">
      <alignment horizontal="right" vertical="center"/>
      <protection locked="0"/>
    </xf>
    <xf numFmtId="0" fontId="24" fillId="44" borderId="26">
      <alignment horizontal="right" vertical="center"/>
      <protection locked="0"/>
    </xf>
    <xf numFmtId="171" fontId="7" fillId="44" borderId="26">
      <alignment horizontal="right" vertical="center"/>
      <protection locked="0"/>
    </xf>
    <xf numFmtId="0" fontId="24" fillId="44" borderId="26">
      <alignment horizontal="right" vertical="center"/>
      <protection locked="0"/>
    </xf>
    <xf numFmtId="171" fontId="7" fillId="44" borderId="26">
      <alignment horizontal="right" vertical="center"/>
      <protection locked="0"/>
    </xf>
    <xf numFmtId="0" fontId="24" fillId="44" borderId="26">
      <alignment horizontal="right" vertical="center"/>
      <protection locked="0"/>
    </xf>
    <xf numFmtId="171"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44" borderId="26">
      <alignment horizontal="right" vertical="center"/>
      <protection locked="0"/>
    </xf>
    <xf numFmtId="171" fontId="7" fillId="44" borderId="26">
      <alignment horizontal="right" vertical="center"/>
      <protection locked="0"/>
    </xf>
    <xf numFmtId="167" fontId="24" fillId="44" borderId="26">
      <alignment horizontal="right" vertical="center"/>
      <protection locked="0"/>
    </xf>
    <xf numFmtId="171" fontId="7" fillId="44" borderId="26">
      <alignment horizontal="right" vertical="center"/>
      <protection locked="0"/>
    </xf>
    <xf numFmtId="167" fontId="24" fillId="44" borderId="26">
      <alignment horizontal="right" vertical="center"/>
      <protection locked="0"/>
    </xf>
    <xf numFmtId="171" fontId="7" fillId="44" borderId="26">
      <alignment horizontal="right" vertical="center"/>
      <protection locked="0"/>
    </xf>
    <xf numFmtId="167" fontId="24" fillId="44" borderId="26">
      <alignment horizontal="right" vertical="center"/>
      <protection locked="0"/>
    </xf>
    <xf numFmtId="171"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67"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336" fontId="24" fillId="0" borderId="0">
      <protection locked="0"/>
    </xf>
    <xf numFmtId="338" fontId="199" fillId="0" borderId="0"/>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protection locked="0"/>
    </xf>
    <xf numFmtId="180" fontId="200" fillId="0" borderId="45">
      <protection locked="0"/>
    </xf>
    <xf numFmtId="180" fontId="200" fillId="0" borderId="45">
      <protection locked="0"/>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protection locked="0"/>
    </xf>
    <xf numFmtId="180" fontId="200" fillId="0" borderId="45">
      <protection locked="0"/>
    </xf>
    <xf numFmtId="180" fontId="200" fillId="0" borderId="45">
      <protection locked="0"/>
    </xf>
    <xf numFmtId="193" fontId="200" fillId="0" borderId="0"/>
    <xf numFmtId="180" fontId="200" fillId="0" borderId="45">
      <protection locked="0"/>
    </xf>
    <xf numFmtId="180" fontId="200" fillId="0" borderId="45">
      <protection locked="0"/>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protection locked="0"/>
    </xf>
    <xf numFmtId="193" fontId="200" fillId="0" borderId="0"/>
    <xf numFmtId="180" fontId="200" fillId="0" borderId="0"/>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protection locked="0"/>
    </xf>
    <xf numFmtId="180" fontId="200" fillId="0" borderId="45">
      <protection locked="0"/>
    </xf>
    <xf numFmtId="180" fontId="200" fillId="0" borderId="45">
      <protection locked="0"/>
    </xf>
    <xf numFmtId="180" fontId="200" fillId="0" borderId="45">
      <protection locked="0"/>
    </xf>
    <xf numFmtId="193" fontId="200" fillId="0" borderId="0"/>
    <xf numFmtId="180" fontId="200" fillId="0" borderId="45">
      <protection locked="0"/>
    </xf>
    <xf numFmtId="180" fontId="200" fillId="0" borderId="45">
      <protection locked="0"/>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protection locked="0"/>
    </xf>
    <xf numFmtId="180" fontId="200" fillId="0" borderId="45">
      <protection locked="0"/>
    </xf>
    <xf numFmtId="180" fontId="200" fillId="0" borderId="45">
      <protection locked="0"/>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alignment horizontal="centerContinuous"/>
    </xf>
    <xf numFmtId="180" fontId="200" fillId="0" borderId="45">
      <alignment horizontal="centerContinuous"/>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protection locked="0"/>
    </xf>
    <xf numFmtId="180" fontId="200" fillId="0" borderId="45">
      <protection locked="0"/>
    </xf>
    <xf numFmtId="180" fontId="201" fillId="0" borderId="46">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9" fillId="45"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202"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4" fontId="203" fillId="45"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4" fontId="203" fillId="103" borderId="0" applyNumberFormat="0" applyProtection="0">
      <alignment horizontal="left" vertical="center" indent="1"/>
    </xf>
    <xf numFmtId="4" fontId="203" fillId="103" borderId="0" applyNumberFormat="0" applyProtection="0">
      <alignment horizontal="left" vertical="center" indent="1"/>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203" fillId="104"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203" fillId="89"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203" fillId="86"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203" fillId="38"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203" fillId="90"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203" fillId="37"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203" fillId="91"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203" fillId="105"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203" fillId="97"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19" fillId="106" borderId="4" applyNumberFormat="0" applyProtection="0">
      <alignment horizontal="left" vertical="center" indent="1"/>
    </xf>
    <xf numFmtId="4" fontId="19" fillId="106" borderId="4" applyNumberFormat="0" applyProtection="0">
      <alignment horizontal="left" vertical="center" indent="1"/>
    </xf>
    <xf numFmtId="4" fontId="19" fillId="40" borderId="0" applyNumberFormat="0" applyProtection="0">
      <alignment horizontal="left" vertical="center" indent="1"/>
    </xf>
    <xf numFmtId="4" fontId="19" fillId="40" borderId="0" applyNumberFormat="0" applyProtection="0">
      <alignment horizontal="left" vertical="center" indent="1"/>
    </xf>
    <xf numFmtId="4" fontId="19" fillId="103" borderId="0" applyNumberFormat="0" applyProtection="0">
      <alignment horizontal="left" vertical="center" indent="1"/>
    </xf>
    <xf numFmtId="4" fontId="19" fillId="103" borderId="0" applyNumberFormat="0" applyProtection="0">
      <alignment horizontal="left" vertical="center" indent="1"/>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203" fillId="40"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18" fillId="30" borderId="0" applyNumberFormat="0" applyProtection="0">
      <alignment horizontal="left" vertical="center" indent="1"/>
    </xf>
    <xf numFmtId="4" fontId="53" fillId="30" borderId="47" applyNumberFormat="0" applyProtection="0">
      <alignment horizontal="left" vertical="center" indent="1"/>
    </xf>
    <xf numFmtId="4" fontId="18" fillId="19" borderId="0" applyNumberFormat="0" applyProtection="0">
      <alignment horizontal="left" vertical="center" indent="1"/>
    </xf>
    <xf numFmtId="4" fontId="53" fillId="19" borderId="47"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53" fillId="61" borderId="48" applyNumberFormat="0" applyProtection="0">
      <alignment horizontal="left" vertical="center"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53"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53" fillId="83" borderId="48" applyNumberFormat="0" applyProtection="0">
      <alignment horizontal="left" vertical="center"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53"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53" fillId="32" borderId="48" applyNumberFormat="0" applyProtection="0">
      <alignment horizontal="left" vertical="center"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53"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53" fillId="30" borderId="48" applyNumberFormat="0" applyProtection="0">
      <alignment horizontal="left" vertical="center"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53" fillId="30" borderId="3" applyNumberFormat="0" applyProtection="0">
      <alignment horizontal="left" vertical="top" indent="1"/>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53" fillId="33" borderId="49" applyNumberFormat="0">
      <protection locked="0"/>
    </xf>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3" fillId="107"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4" fontId="19" fillId="40" borderId="51"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3" fillId="107"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4" fontId="19" fillId="40"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180" fontId="53" fillId="109" borderId="6"/>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05" fillId="107" borderId="3" applyNumberFormat="0" applyProtection="0">
      <alignment horizontal="right" vertical="center"/>
    </xf>
    <xf numFmtId="38" fontId="206" fillId="0" borderId="52">
      <alignment horizontal="center"/>
    </xf>
    <xf numFmtId="180" fontId="207" fillId="110" borderId="0"/>
    <xf numFmtId="180" fontId="78" fillId="0" borderId="0"/>
    <xf numFmtId="38" fontId="49" fillId="0" borderId="0" applyFont="0" applyFill="0" applyBorder="0" applyAlignment="0" applyProtection="0"/>
    <xf numFmtId="40" fontId="146" fillId="0" borderId="0" applyFont="0" applyFill="0" applyBorder="0" applyAlignment="0" applyProtection="0"/>
    <xf numFmtId="317" fontId="55" fillId="111" borderId="0" applyFont="0"/>
    <xf numFmtId="180" fontId="208" fillId="0" borderId="0"/>
    <xf numFmtId="0" fontId="9" fillId="0" borderId="0" applyNumberFormat="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 fontId="9" fillId="0" borderId="0"/>
    <xf numFmtId="180" fontId="49" fillId="0" borderId="0">
      <alignment textRotation="90"/>
    </xf>
    <xf numFmtId="0" fontId="98" fillId="81" borderId="0" applyAlignment="0" applyProtection="0">
      <alignment horizontal="right" vertical="center"/>
    </xf>
    <xf numFmtId="190" fontId="58" fillId="0" borderId="0">
      <alignment vertical="center"/>
    </xf>
    <xf numFmtId="0" fontId="9" fillId="112" borderId="0"/>
    <xf numFmtId="339" fontId="18" fillId="0" borderId="0" applyFill="0" applyBorder="0" applyAlignment="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0" fontId="9" fillId="0" borderId="0" applyFont="0" applyFill="0" applyBorder="0" applyAlignment="0" applyProtection="0"/>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38" fontId="9" fillId="0" borderId="0" applyFont="0" applyFill="0" applyBorder="0" applyAlignment="0" applyProtection="0"/>
    <xf numFmtId="180" fontId="9" fillId="0" borderId="0">
      <alignment vertical="top"/>
    </xf>
    <xf numFmtId="180" fontId="210" fillId="50" borderId="0" applyNumberFormat="0" applyProtection="0">
      <alignment horizontal="center" vertical="center"/>
    </xf>
    <xf numFmtId="4" fontId="18" fillId="50" borderId="0" applyProtection="0">
      <alignment horizontal="center" vertical="center"/>
    </xf>
    <xf numFmtId="180" fontId="211" fillId="50" borderId="0" applyNumberFormat="0" applyProtection="0">
      <alignment horizontal="center" vertical="center"/>
    </xf>
    <xf numFmtId="4" fontId="20" fillId="50" borderId="0" applyProtection="0">
      <alignment horizontal="center" vertical="center"/>
    </xf>
    <xf numFmtId="180" fontId="212" fillId="113" borderId="0" applyNumberFormat="0" applyProtection="0">
      <alignment horizontal="center" vertical="center"/>
    </xf>
    <xf numFmtId="4" fontId="22" fillId="113" borderId="0" applyProtection="0">
      <alignment horizontal="center" vertical="center"/>
    </xf>
    <xf numFmtId="180" fontId="209" fillId="50" borderId="0" applyNumberFormat="0" applyProtection="0">
      <alignment horizontal="center" vertical="center"/>
    </xf>
    <xf numFmtId="4" fontId="213" fillId="50" borderId="0" applyProtection="0">
      <alignment horizontal="center" vertical="center"/>
    </xf>
    <xf numFmtId="180" fontId="214" fillId="114" borderId="0" applyNumberFormat="0" applyProtection="0">
      <alignment horizontal="center" vertical="center"/>
    </xf>
    <xf numFmtId="4" fontId="61" fillId="114" borderId="0" applyProtection="0">
      <alignment horizontal="center" vertical="center"/>
    </xf>
    <xf numFmtId="180" fontId="16" fillId="50" borderId="0" applyNumberFormat="0" applyProtection="0">
      <alignment horizontal="center" vertical="center" wrapText="1"/>
    </xf>
    <xf numFmtId="180" fontId="17" fillId="50" borderId="0" applyNumberFormat="0" applyProtection="0">
      <alignment horizontal="center" vertical="center" wrapText="1"/>
    </xf>
    <xf numFmtId="180" fontId="141" fillId="113" borderId="0" applyNumberFormat="0" applyProtection="0">
      <alignment horizontal="center" vertical="center" wrapText="1"/>
    </xf>
    <xf numFmtId="180" fontId="215" fillId="50" borderId="0" applyNumberFormat="0" applyProtection="0">
      <alignment horizontal="center" vertical="center" wrapText="1"/>
    </xf>
    <xf numFmtId="180" fontId="16" fillId="50" borderId="0" applyNumberFormat="0" applyProtection="0">
      <alignment horizontal="center" vertical="center" wrapText="1"/>
    </xf>
    <xf numFmtId="4" fontId="216" fillId="50" borderId="0" applyProtection="0">
      <alignment horizontal="center" vertical="top" wrapText="1"/>
    </xf>
    <xf numFmtId="180" fontId="17" fillId="50" borderId="0" applyNumberFormat="0" applyProtection="0">
      <alignment horizontal="center" vertical="center" wrapText="1"/>
    </xf>
    <xf numFmtId="4" fontId="217" fillId="50" borderId="0" applyProtection="0">
      <alignment horizontal="center" vertical="top" wrapText="1"/>
    </xf>
    <xf numFmtId="180" fontId="141" fillId="113" borderId="0" applyNumberFormat="0" applyProtection="0">
      <alignment horizontal="center" vertical="center" wrapText="1"/>
    </xf>
    <xf numFmtId="4" fontId="218" fillId="113" borderId="0" applyProtection="0">
      <alignment horizontal="center" vertical="top" wrapText="1"/>
    </xf>
    <xf numFmtId="180" fontId="215" fillId="50" borderId="0" applyNumberFormat="0" applyProtection="0">
      <alignment horizontal="center" vertical="center" wrapText="1"/>
    </xf>
    <xf numFmtId="4" fontId="219" fillId="50" borderId="0" applyProtection="0">
      <alignment horizontal="center" vertical="top" wrapText="1"/>
    </xf>
    <xf numFmtId="180" fontId="187" fillId="114" borderId="0" applyNumberFormat="0" applyProtection="0">
      <alignment horizontal="center" vertical="center" wrapText="1"/>
    </xf>
    <xf numFmtId="4" fontId="220" fillId="114" borderId="0" applyProtection="0">
      <alignment horizontal="center" vertical="top" wrapText="1"/>
    </xf>
    <xf numFmtId="180" fontId="16" fillId="104" borderId="0" applyNumberFormat="0" applyProtection="0">
      <alignment horizontal="center" vertical="center" wrapText="1"/>
    </xf>
    <xf numFmtId="4" fontId="216" fillId="104" borderId="0" applyProtection="0">
      <alignment horizontal="center" vertical="top" wrapText="1"/>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80" fontId="221" fillId="0" borderId="0"/>
    <xf numFmtId="180" fontId="222" fillId="40" borderId="0"/>
    <xf numFmtId="180" fontId="223" fillId="0" borderId="0">
      <alignment horizontal="left" vertical="center"/>
    </xf>
    <xf numFmtId="252" fontId="78" fillId="0" borderId="0"/>
    <xf numFmtId="180" fontId="107" fillId="0" borderId="0"/>
    <xf numFmtId="180" fontId="78" fillId="0" borderId="0">
      <alignment horizontal="center"/>
    </xf>
    <xf numFmtId="37" fontId="64" fillId="0" borderId="53" applyNumberFormat="0"/>
    <xf numFmtId="40" fontId="9" fillId="0" borderId="0" applyBorder="0">
      <alignment horizontal="right"/>
    </xf>
    <xf numFmtId="37" fontId="64" fillId="0" borderId="53" applyNumberFormat="0"/>
    <xf numFmtId="40" fontId="224" fillId="0" borderId="0" applyBorder="0">
      <alignment horizontal="right"/>
    </xf>
    <xf numFmtId="0" fontId="225" fillId="0" borderId="5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16" fillId="46" borderId="6">
      <protection locked="0"/>
    </xf>
    <xf numFmtId="0" fontId="216" fillId="46" borderId="6">
      <protection locked="0"/>
    </xf>
    <xf numFmtId="180" fontId="226" fillId="0" borderId="0" applyBorder="0" applyProtection="0">
      <alignment vertical="center"/>
    </xf>
    <xf numFmtId="180" fontId="226" fillId="0" borderId="9" applyBorder="0" applyProtection="0">
      <alignment horizontal="right" vertical="center"/>
    </xf>
    <xf numFmtId="180" fontId="227" fillId="115" borderId="0" applyBorder="0" applyProtection="0">
      <alignment horizontal="centerContinuous" vertical="center"/>
    </xf>
    <xf numFmtId="180" fontId="227" fillId="114" borderId="9" applyBorder="0" applyProtection="0">
      <alignment horizontal="centerContinuous" vertical="center"/>
    </xf>
    <xf numFmtId="180" fontId="228" fillId="0" borderId="0"/>
    <xf numFmtId="180" fontId="169" fillId="0" borderId="0"/>
    <xf numFmtId="180" fontId="229" fillId="0" borderId="0" applyFill="0" applyBorder="0" applyProtection="0">
      <alignment horizontal="left"/>
    </xf>
    <xf numFmtId="180" fontId="114" fillId="0" borderId="10" applyFill="0" applyBorder="0" applyProtection="0">
      <alignment horizontal="left" vertical="top"/>
    </xf>
    <xf numFmtId="180" fontId="230" fillId="0" borderId="0">
      <alignment horizontal="centerContinuous"/>
    </xf>
    <xf numFmtId="49" fontId="231" fillId="0" borderId="0"/>
    <xf numFmtId="49" fontId="41" fillId="0" borderId="0" applyFont="0" applyFill="0" applyBorder="0" applyAlignment="0" applyProtection="0"/>
    <xf numFmtId="180" fontId="232" fillId="0" borderId="0"/>
    <xf numFmtId="49" fontId="41" fillId="0" borderId="0" applyFont="0" applyFill="0" applyBorder="0" applyAlignment="0" applyProtection="0"/>
    <xf numFmtId="180" fontId="233" fillId="0" borderId="0"/>
    <xf numFmtId="0" fontId="93" fillId="83" borderId="0" applyAlignment="0" applyProtection="0"/>
    <xf numFmtId="0" fontId="53" fillId="83" borderId="0" applyAlignment="0" applyProtection="0">
      <alignment horizontal="left"/>
    </xf>
    <xf numFmtId="0" fontId="53" fillId="83" borderId="0" applyAlignment="0" applyProtection="0">
      <alignment horizontal="left" indent="1"/>
    </xf>
    <xf numFmtId="0" fontId="53" fillId="83" borderId="0" applyAlignment="0" applyProtection="0">
      <alignment horizontal="left" vertical="center" indent="2"/>
    </xf>
    <xf numFmtId="340" fontId="78" fillId="0" borderId="0" applyFont="0" applyFill="0" applyBorder="0" applyAlignment="0" applyProtection="0"/>
    <xf numFmtId="0" fontId="234" fillId="0" borderId="0">
      <alignment horizontal="center"/>
    </xf>
    <xf numFmtId="15" fontId="234" fillId="0" borderId="0">
      <alignment horizontal="center"/>
    </xf>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35"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9" fontId="235" fillId="0" borderId="0" applyNumberFormat="0" applyFill="0" applyBorder="0" applyAlignment="0" applyProtection="0"/>
    <xf numFmtId="0" fontId="9" fillId="0" borderId="0" applyNumberFormat="0" applyFont="0" applyFill="0" applyBorder="0" applyAlignment="0" applyProtection="0"/>
    <xf numFmtId="180" fontId="236" fillId="36" borderId="0">
      <alignment horizontal="right"/>
    </xf>
    <xf numFmtId="173" fontId="182" fillId="0" borderId="0"/>
    <xf numFmtId="180" fontId="237" fillId="0" borderId="0"/>
    <xf numFmtId="341" fontId="238" fillId="0" borderId="0"/>
    <xf numFmtId="193" fontId="9" fillId="0" borderId="53" applyNumberFormat="0" applyFont="0" applyFill="0" applyAlignment="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9" fontId="239" fillId="0" borderId="56" applyNumberFormat="0" applyFill="0" applyAlignment="0" applyProtection="0"/>
    <xf numFmtId="189" fontId="239" fillId="0" borderId="56" applyNumberFormat="0" applyFill="0" applyAlignment="0" applyProtection="0"/>
    <xf numFmtId="0" fontId="9" fillId="0" borderId="0" applyNumberFormat="0" applyFont="0" applyFill="0" applyBorder="0" applyAlignment="0" applyProtection="0"/>
    <xf numFmtId="37" fontId="64" fillId="0" borderId="57" applyNumberFormat="0" applyFill="0"/>
    <xf numFmtId="315" fontId="92" fillId="0" borderId="58" applyAlignment="0"/>
    <xf numFmtId="316" fontId="92" fillId="0" borderId="58" applyAlignment="0"/>
    <xf numFmtId="173" fontId="51" fillId="0" borderId="58"/>
    <xf numFmtId="342" fontId="54" fillId="0" borderId="0" applyFont="0" applyFill="0" applyBorder="0" applyAlignment="0" applyProtection="0">
      <alignment horizontal="right"/>
    </xf>
    <xf numFmtId="180" fontId="240" fillId="0" borderId="0">
      <alignment horizontal="fill"/>
    </xf>
    <xf numFmtId="37" fontId="53" fillId="45" borderId="0" applyNumberFormat="0" applyBorder="0" applyAlignment="0" applyProtection="0"/>
    <xf numFmtId="37" fontId="53" fillId="0" borderId="0"/>
    <xf numFmtId="37" fontId="53" fillId="46" borderId="0" applyNumberFormat="0" applyBorder="0" applyAlignment="0" applyProtection="0"/>
    <xf numFmtId="3" fontId="132" fillId="0" borderId="33" applyProtection="0"/>
    <xf numFmtId="4" fontId="51" fillId="0" borderId="0">
      <protection locked="0"/>
    </xf>
    <xf numFmtId="343" fontId="192" fillId="46" borderId="10" applyBorder="0">
      <alignment horizontal="right" vertical="center"/>
      <protection locked="0"/>
    </xf>
    <xf numFmtId="180" fontId="9" fillId="0" borderId="0">
      <alignment vertical="top"/>
    </xf>
    <xf numFmtId="180" fontId="241" fillId="0" borderId="0" applyFont="0" applyFill="0" applyBorder="0" applyAlignment="0" applyProtection="0"/>
    <xf numFmtId="245" fontId="117" fillId="0" borderId="0" applyFont="0" applyFill="0" applyBorder="0" applyAlignment="0" applyProtection="0"/>
    <xf numFmtId="344" fontId="117" fillId="0" borderId="0" applyFont="0" applyFill="0" applyBorder="0" applyAlignment="0" applyProtection="0"/>
    <xf numFmtId="345" fontId="117" fillId="0" borderId="0" applyFont="0" applyFill="0" applyBorder="0" applyAlignment="0" applyProtection="0"/>
    <xf numFmtId="204" fontId="53" fillId="0" borderId="0"/>
    <xf numFmtId="180" fontId="242" fillId="0" borderId="0"/>
    <xf numFmtId="346" fontId="9" fillId="0" borderId="0" applyFont="0" applyFill="0" applyBorder="0" applyAlignment="0" applyProtection="0"/>
    <xf numFmtId="256" fontId="9" fillId="0" borderId="0" applyFont="0" applyFill="0" applyBorder="0" applyAlignment="0" applyProtection="0"/>
    <xf numFmtId="0" fontId="24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3" fillId="0" borderId="0" applyNumberFormat="0" applyFill="0" applyBorder="0" applyAlignment="0" applyProtection="0"/>
    <xf numFmtId="0" fontId="9" fillId="34" borderId="0" applyNumberFormat="0" applyFont="0" applyBorder="0" applyAlignment="0" applyProtection="0"/>
    <xf numFmtId="167" fontId="7" fillId="43" borderId="26">
      <alignment vertical="center"/>
    </xf>
    <xf numFmtId="167" fontId="7" fillId="3" borderId="26">
      <alignment vertical="center"/>
      <protection locked="0"/>
    </xf>
    <xf numFmtId="0" fontId="12" fillId="0" borderId="0"/>
    <xf numFmtId="0" fontId="28" fillId="0" borderId="0"/>
    <xf numFmtId="168" fontId="249" fillId="0" borderId="0" applyFill="0" applyBorder="0">
      <alignment vertical="center"/>
    </xf>
    <xf numFmtId="10" fontId="36" fillId="0" borderId="0" applyFont="0" applyFill="0" applyBorder="0" applyAlignment="0" applyProtection="0">
      <alignment vertical="center"/>
    </xf>
    <xf numFmtId="164" fontId="7" fillId="0" borderId="0" applyFont="0" applyFill="0" applyBorder="0" applyAlignment="0" applyProtection="0"/>
    <xf numFmtId="164" fontId="6" fillId="0" borderId="0" applyFont="0" applyFill="0" applyBorder="0" applyAlignment="0" applyProtection="0"/>
    <xf numFmtId="171" fontId="7" fillId="101" borderId="26">
      <alignment vertical="center"/>
    </xf>
    <xf numFmtId="10" fontId="36" fillId="0" borderId="0" applyFont="0" applyFill="0" applyBorder="0" applyAlignment="0" applyProtection="0">
      <alignment vertical="center"/>
    </xf>
    <xf numFmtId="349" fontId="9" fillId="0" borderId="0"/>
    <xf numFmtId="349" fontId="9" fillId="0" borderId="0"/>
    <xf numFmtId="349" fontId="12"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12" fillId="0" borderId="0"/>
    <xf numFmtId="349" fontId="9" fillId="0" borderId="0"/>
    <xf numFmtId="349" fontId="12" fillId="0" borderId="0"/>
    <xf numFmtId="349" fontId="9" fillId="0" borderId="0"/>
    <xf numFmtId="349" fontId="12"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lignment vertical="center"/>
    </xf>
    <xf numFmtId="349" fontId="12" fillId="0" borderId="0"/>
    <xf numFmtId="349" fontId="12" fillId="0" borderId="0"/>
    <xf numFmtId="349" fontId="12" fillId="0" borderId="0"/>
    <xf numFmtId="349" fontId="12" fillId="0" borderId="0"/>
    <xf numFmtId="349" fontId="9" fillId="0" borderId="0">
      <alignment vertical="center"/>
    </xf>
    <xf numFmtId="349" fontId="9" fillId="0" borderId="0">
      <alignment vertical="center"/>
    </xf>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12" fillId="0" borderId="0">
      <alignment vertical="justify"/>
    </xf>
    <xf numFmtId="349" fontId="18" fillId="30" borderId="0" applyNumberFormat="0" applyBorder="0" applyAlignment="0" applyProtection="0"/>
    <xf numFmtId="349" fontId="18" fillId="30"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7" borderId="0" applyNumberFormat="0" applyBorder="0" applyAlignment="0" applyProtection="0"/>
    <xf numFmtId="349" fontId="18" fillId="27" borderId="0" applyNumberFormat="0" applyBorder="0" applyAlignment="0" applyProtection="0"/>
    <xf numFmtId="349" fontId="18" fillId="118" borderId="0" applyNumberFormat="0" applyBorder="0" applyAlignment="0" applyProtection="0"/>
    <xf numFmtId="349" fontId="18" fillId="118" borderId="0" applyNumberFormat="0" applyBorder="0" applyAlignment="0" applyProtection="0"/>
    <xf numFmtId="349" fontId="18" fillId="30" borderId="0" applyNumberFormat="0" applyBorder="0" applyAlignment="0" applyProtection="0"/>
    <xf numFmtId="349" fontId="18" fillId="30"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18" fillId="61" borderId="0" applyNumberFormat="0" applyBorder="0" applyAlignment="0" applyProtection="0"/>
    <xf numFmtId="349" fontId="18" fillId="61"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6" borderId="0" applyNumberFormat="0" applyBorder="0" applyAlignment="0" applyProtection="0"/>
    <xf numFmtId="349" fontId="18" fillId="26" borderId="0" applyNumberFormat="0" applyBorder="0" applyAlignment="0" applyProtection="0"/>
    <xf numFmtId="349" fontId="18" fillId="119" borderId="0" applyNumberFormat="0" applyBorder="0" applyAlignment="0" applyProtection="0"/>
    <xf numFmtId="349" fontId="18" fillId="119" borderId="0" applyNumberFormat="0" applyBorder="0" applyAlignment="0" applyProtection="0"/>
    <xf numFmtId="349" fontId="18" fillId="31" borderId="0" applyNumberFormat="0" applyBorder="0" applyAlignment="0" applyProtection="0"/>
    <xf numFmtId="349" fontId="18" fillId="31"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19" borderId="0" applyNumberFormat="0" applyBorder="0" applyAlignment="0" applyProtection="0"/>
    <xf numFmtId="349" fontId="61" fillId="19" borderId="0" applyNumberFormat="0" applyBorder="0" applyAlignment="0" applyProtection="0"/>
    <xf numFmtId="349" fontId="61" fillId="26" borderId="0" applyNumberFormat="0" applyBorder="0" applyAlignment="0" applyProtection="0"/>
    <xf numFmtId="349" fontId="61" fillId="26" borderId="0" applyNumberFormat="0" applyBorder="0" applyAlignment="0" applyProtection="0"/>
    <xf numFmtId="349" fontId="61" fillId="119" borderId="0" applyNumberFormat="0" applyBorder="0" applyAlignment="0" applyProtection="0"/>
    <xf numFmtId="349" fontId="61" fillId="119"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23" borderId="0" applyNumberFormat="0" applyBorder="0" applyAlignment="0" applyProtection="0"/>
    <xf numFmtId="349" fontId="61" fillId="23" borderId="0" applyNumberFormat="0" applyBorder="0" applyAlignment="0" applyProtection="0"/>
    <xf numFmtId="349" fontId="13" fillId="65" borderId="0" applyNumberFormat="0" applyBorder="0" applyAlignment="0" applyProtection="0"/>
    <xf numFmtId="349" fontId="13" fillId="12" borderId="0" applyNumberFormat="0" applyBorder="0" applyAlignment="0" applyProtection="0"/>
    <xf numFmtId="349" fontId="14" fillId="121" borderId="0" applyNumberFormat="0" applyBorder="0" applyAlignment="0" applyProtection="0"/>
    <xf numFmtId="349" fontId="14" fillId="66" borderId="0" applyNumberFormat="0" applyBorder="0" applyAlignment="0" applyProtection="0"/>
    <xf numFmtId="349" fontId="14" fillId="66" borderId="0" applyNumberFormat="0" applyBorder="0" applyAlignment="0" applyProtection="0"/>
    <xf numFmtId="349" fontId="13" fillId="68" borderId="0" applyNumberFormat="0" applyBorder="0" applyAlignment="0" applyProtection="0"/>
    <xf numFmtId="349" fontId="13" fillId="11" borderId="0" applyNumberFormat="0" applyBorder="0" applyAlignment="0" applyProtection="0"/>
    <xf numFmtId="349" fontId="14" fillId="8" borderId="0" applyNumberFormat="0" applyBorder="0" applyAlignment="0" applyProtection="0"/>
    <xf numFmtId="349" fontId="14" fillId="69" borderId="0" applyNumberFormat="0" applyBorder="0" applyAlignment="0" applyProtection="0"/>
    <xf numFmtId="349" fontId="14" fillId="69" borderId="0" applyNumberFormat="0" applyBorder="0" applyAlignment="0" applyProtection="0"/>
    <xf numFmtId="349" fontId="13" fillId="70" borderId="0" applyNumberFormat="0" applyBorder="0" applyAlignment="0" applyProtection="0"/>
    <xf numFmtId="349" fontId="13" fillId="71" borderId="0" applyNumberFormat="0" applyBorder="0" applyAlignment="0" applyProtection="0"/>
    <xf numFmtId="349" fontId="14" fillId="122" borderId="0" applyNumberFormat="0" applyBorder="0" applyAlignment="0" applyProtection="0"/>
    <xf numFmtId="349" fontId="14" fillId="123" borderId="0" applyNumberFormat="0" applyBorder="0" applyAlignment="0" applyProtection="0"/>
    <xf numFmtId="349" fontId="14" fillId="123" borderId="0" applyNumberFormat="0" applyBorder="0" applyAlignment="0" applyProtection="0"/>
    <xf numFmtId="349" fontId="13" fillId="68" borderId="0" applyNumberFormat="0" applyBorder="0" applyAlignment="0" applyProtection="0"/>
    <xf numFmtId="349" fontId="13" fillId="9" borderId="0" applyNumberFormat="0" applyBorder="0" applyAlignment="0" applyProtection="0"/>
    <xf numFmtId="349" fontId="14" fillId="11" borderId="0" applyNumberFormat="0" applyBorder="0" applyAlignment="0" applyProtection="0"/>
    <xf numFmtId="349" fontId="14" fillId="124" borderId="0" applyNumberFormat="0" applyBorder="0" applyAlignment="0" applyProtection="0"/>
    <xf numFmtId="349" fontId="14" fillId="124" borderId="0" applyNumberFormat="0" applyBorder="0" applyAlignment="0" applyProtection="0"/>
    <xf numFmtId="349" fontId="13" fillId="10" borderId="0" applyNumberFormat="0" applyBorder="0" applyAlignment="0" applyProtection="0"/>
    <xf numFmtId="349" fontId="13" fillId="5"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3" fillId="13" borderId="0" applyNumberFormat="0" applyBorder="0" applyAlignment="0" applyProtection="0"/>
    <xf numFmtId="349" fontId="13" fillId="14" borderId="0" applyNumberFormat="0" applyBorder="0" applyAlignment="0" applyProtection="0"/>
    <xf numFmtId="349" fontId="14" fillId="125" borderId="0" applyNumberFormat="0" applyBorder="0" applyAlignment="0" applyProtection="0"/>
    <xf numFmtId="349" fontId="14" fillId="126" borderId="0" applyNumberFormat="0" applyBorder="0" applyAlignment="0" applyProtection="0"/>
    <xf numFmtId="349" fontId="14" fillId="126" borderId="0" applyNumberFormat="0" applyBorder="0" applyAlignment="0" applyProtection="0"/>
    <xf numFmtId="349" fontId="250" fillId="13" borderId="0" applyNumberFormat="0" applyBorder="0" applyAlignment="0" applyProtection="0"/>
    <xf numFmtId="349" fontId="250" fillId="13" borderId="0" applyNumberFormat="0" applyBorder="0" applyAlignment="0" applyProtection="0"/>
    <xf numFmtId="349" fontId="251" fillId="127" borderId="107" applyNumberFormat="0" applyAlignment="0" applyProtection="0"/>
    <xf numFmtId="349" fontId="251" fillId="127" borderId="107" applyNumberFormat="0" applyAlignment="0" applyProtection="0"/>
    <xf numFmtId="349" fontId="90" fillId="124" borderId="15" applyNumberFormat="0" applyAlignment="0" applyProtection="0"/>
    <xf numFmtId="349" fontId="90" fillId="124" borderId="15" applyNumberFormat="0" applyAlignment="0" applyProtection="0"/>
    <xf numFmtId="37" fontId="64" fillId="0" borderId="88">
      <alignment horizontal="center"/>
    </xf>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349" fontId="15" fillId="128" borderId="0" applyNumberFormat="0" applyBorder="0" applyAlignment="0" applyProtection="0"/>
    <xf numFmtId="349" fontId="15" fillId="129" borderId="0" applyNumberFormat="0" applyBorder="0" applyAlignment="0" applyProtection="0"/>
    <xf numFmtId="349" fontId="15" fillId="17" borderId="0" applyNumberFormat="0" applyBorder="0" applyAlignment="0" applyProtection="0"/>
    <xf numFmtId="349" fontId="49" fillId="0" borderId="0" applyFont="0" applyFill="0" applyBorder="0" applyAlignment="0" applyProtection="0"/>
    <xf numFmtId="349" fontId="252" fillId="0" borderId="0" applyNumberFormat="0" applyFill="0" applyBorder="0" applyAlignment="0" applyProtection="0"/>
    <xf numFmtId="349" fontId="252" fillId="0" borderId="0" applyNumberFormat="0" applyFill="0" applyBorder="0" applyAlignment="0" applyProtection="0"/>
    <xf numFmtId="349" fontId="13" fillId="71" borderId="0" applyNumberFormat="0" applyBorder="0" applyAlignment="0" applyProtection="0"/>
    <xf numFmtId="349" fontId="13" fillId="71" borderId="0" applyNumberForma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122" fillId="0" borderId="29" applyNumberFormat="0" applyFill="0" applyAlignment="0" applyProtection="0"/>
    <xf numFmtId="349" fontId="122" fillId="0" borderId="29" applyNumberFormat="0" applyFill="0" applyAlignment="0" applyProtection="0"/>
    <xf numFmtId="349" fontId="125" fillId="0" borderId="108" applyNumberFormat="0" applyFill="0" applyAlignment="0" applyProtection="0"/>
    <xf numFmtId="349" fontId="125" fillId="0" borderId="108" applyNumberFormat="0" applyFill="0" applyAlignment="0" applyProtection="0"/>
    <xf numFmtId="349" fontId="128" fillId="0" borderId="109" applyNumberFormat="0" applyFill="0" applyAlignment="0" applyProtection="0"/>
    <xf numFmtId="349" fontId="128" fillId="0" borderId="109" applyNumberFormat="0" applyFill="0" applyAlignment="0" applyProtection="0"/>
    <xf numFmtId="349" fontId="128" fillId="0" borderId="0" applyNumberFormat="0" applyFill="0" applyBorder="0" applyAlignment="0" applyProtection="0"/>
    <xf numFmtId="349" fontId="128" fillId="0" borderId="0" applyNumberFormat="0" applyFill="0" applyBorder="0" applyAlignment="0" applyProtection="0"/>
    <xf numFmtId="349" fontId="142" fillId="14" borderId="107" applyNumberFormat="0" applyAlignment="0" applyProtection="0"/>
    <xf numFmtId="349" fontId="142" fillId="14" borderId="107" applyNumberFormat="0" applyAlignment="0" applyProtection="0"/>
    <xf numFmtId="349" fontId="145" fillId="34" borderId="0"/>
    <xf numFmtId="349" fontId="118" fillId="0" borderId="110" applyNumberFormat="0" applyFill="0" applyAlignment="0" applyProtection="0"/>
    <xf numFmtId="349" fontId="118" fillId="0" borderId="110" applyNumberFormat="0" applyFill="0" applyAlignment="0" applyProtection="0"/>
    <xf numFmtId="349" fontId="118" fillId="14" borderId="0" applyNumberFormat="0" applyBorder="0" applyAlignment="0" applyProtection="0"/>
    <xf numFmtId="349" fontId="118" fillId="14" borderId="0" applyNumberFormat="0" applyBorder="0" applyAlignment="0" applyProtection="0"/>
    <xf numFmtId="349" fontId="24" fillId="0" borderId="0"/>
    <xf numFmtId="349" fontId="24" fillId="0" borderId="0"/>
    <xf numFmtId="349" fontId="24" fillId="0" borderId="0"/>
    <xf numFmtId="349" fontId="24" fillId="0" borderId="0"/>
    <xf numFmtId="349" fontId="24" fillId="0" borderId="0"/>
    <xf numFmtId="349" fontId="9" fillId="0" borderId="0"/>
    <xf numFmtId="349" fontId="9" fillId="0" borderId="0"/>
    <xf numFmtId="349" fontId="9" fillId="0" borderId="0"/>
    <xf numFmtId="349" fontId="9" fillId="0" borderId="0"/>
    <xf numFmtId="0" fontId="7"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xf numFmtId="349" fontId="13" fillId="0" borderId="0" applyFill="0" applyBorder="0" applyAlignment="0" applyProtection="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7"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28" fillId="0" borderId="0"/>
    <xf numFmtId="349" fontId="6" fillId="0" borderId="0"/>
    <xf numFmtId="349" fontId="9"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6" fillId="0" borderId="0"/>
    <xf numFmtId="349" fontId="6" fillId="0" borderId="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13" fillId="0" borderId="0" applyFill="0" applyBorder="0" applyAlignment="0" applyProtection="0"/>
    <xf numFmtId="349" fontId="24"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2" fillId="0" borderId="0">
      <alignment vertical="top"/>
    </xf>
    <xf numFmtId="349" fontId="106" fillId="0" borderId="0" applyFill="0" applyBorder="0">
      <protection locked="0"/>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330" fontId="24" fillId="90" borderId="26">
      <alignment vertical="center"/>
    </xf>
    <xf numFmtId="167" fontId="24" fillId="90" borderId="26">
      <alignment vertical="center"/>
    </xf>
    <xf numFmtId="167"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171" fontId="24" fillId="90" borderId="26">
      <alignment vertical="center"/>
    </xf>
    <xf numFmtId="171" fontId="24" fillId="90" borderId="26">
      <alignment vertical="center"/>
    </xf>
    <xf numFmtId="330" fontId="24" fillId="90" borderId="26">
      <alignment vertical="center"/>
    </xf>
    <xf numFmtId="349" fontId="197" fillId="0" borderId="0"/>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30"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9" borderId="26">
      <alignment horizontal="right" vertical="center"/>
      <protection locked="0"/>
    </xf>
    <xf numFmtId="349" fontId="24" fillId="39" borderId="26">
      <alignment horizontal="right" vertical="center"/>
      <protection locked="0"/>
    </xf>
    <xf numFmtId="330" fontId="24" fillId="39" borderId="26">
      <alignment horizontal="right" vertical="center"/>
      <protection locked="0"/>
    </xf>
    <xf numFmtId="330" fontId="24" fillId="39" borderId="26">
      <alignment horizontal="right" vertical="center"/>
      <protection locked="0"/>
    </xf>
    <xf numFmtId="4" fontId="53" fillId="18" borderId="107" applyNumberFormat="0" applyProtection="0">
      <alignment vertical="center"/>
    </xf>
    <xf numFmtId="4" fontId="253" fillId="45" borderId="107" applyNumberFormat="0" applyProtection="0">
      <alignment vertical="center"/>
    </xf>
    <xf numFmtId="4" fontId="53" fillId="45" borderId="107" applyNumberFormat="0" applyProtection="0">
      <alignment horizontal="left" vertical="center" indent="1"/>
    </xf>
    <xf numFmtId="349" fontId="254"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3" borderId="49" applyNumberFormat="0">
      <protection locked="0"/>
    </xf>
    <xf numFmtId="349" fontId="9" fillId="33" borderId="26"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93" fillId="31" borderId="114" applyBorder="0"/>
    <xf numFmtId="4" fontId="255" fillId="34" borderId="112" applyNumberFormat="0" applyProtection="0">
      <alignment vertical="center"/>
    </xf>
    <xf numFmtId="4" fontId="253" fillId="36" borderId="26" applyNumberFormat="0" applyProtection="0">
      <alignment vertical="center"/>
    </xf>
    <xf numFmtId="4" fontId="255" fillId="61" borderId="112" applyNumberFormat="0" applyProtection="0">
      <alignment horizontal="left" vertical="center" indent="1"/>
    </xf>
    <xf numFmtId="349" fontId="255" fillId="34" borderId="112" applyNumberFormat="0" applyProtection="0">
      <alignment horizontal="left" vertical="top" indent="1"/>
    </xf>
    <xf numFmtId="4" fontId="53" fillId="0" borderId="107" applyNumberFormat="0" applyProtection="0">
      <alignment horizontal="right" vertical="center"/>
    </xf>
    <xf numFmtId="4" fontId="253" fillId="50" borderId="107" applyNumberFormat="0" applyProtection="0">
      <alignment horizontal="right" vertical="center"/>
    </xf>
    <xf numFmtId="4" fontId="53" fillId="64" borderId="107" applyNumberFormat="0" applyProtection="0">
      <alignment horizontal="left" vertical="center" indent="1"/>
    </xf>
    <xf numFmtId="349" fontId="255" fillId="19" borderId="112" applyNumberFormat="0" applyProtection="0">
      <alignment horizontal="left" vertical="top" indent="1"/>
    </xf>
    <xf numFmtId="4" fontId="256" fillId="35" borderId="113" applyNumberFormat="0" applyProtection="0">
      <alignment horizontal="left" vertical="center" indent="1"/>
    </xf>
    <xf numFmtId="349" fontId="53" fillId="109" borderId="26"/>
    <xf numFmtId="4" fontId="257" fillId="33" borderId="107" applyNumberFormat="0" applyProtection="0">
      <alignment horizontal="right" vertical="center"/>
    </xf>
    <xf numFmtId="349" fontId="23" fillId="0" borderId="0" applyNumberFormat="0" applyFill="0" applyBorder="0" applyAlignment="0" applyProtection="0"/>
    <xf numFmtId="349" fontId="9" fillId="0" borderId="0" applyFont="0" applyFill="0" applyBorder="0" applyAlignment="0" applyProtection="0"/>
    <xf numFmtId="37" fontId="64" fillId="0" borderId="115" applyNumberFormat="0"/>
    <xf numFmtId="349" fontId="225" fillId="0" borderId="54" applyNumberFormat="0" applyAlignment="0" applyProtection="0"/>
    <xf numFmtId="349" fontId="23" fillId="0" borderId="0" applyNumberFormat="0" applyFill="0" applyBorder="0" applyAlignment="0" applyProtection="0"/>
    <xf numFmtId="349" fontId="23" fillId="0" borderId="0" applyNumberFormat="0" applyFill="0" applyBorder="0" applyAlignment="0" applyProtection="0"/>
    <xf numFmtId="210" fontId="64" fillId="0" borderId="28" applyFill="0"/>
    <xf numFmtId="349" fontId="15" fillId="0" borderId="116" applyNumberFormat="0" applyFill="0" applyAlignment="0" applyProtection="0"/>
    <xf numFmtId="349" fontId="15" fillId="0" borderId="116" applyNumberFormat="0" applyFill="0" applyAlignment="0" applyProtection="0"/>
    <xf numFmtId="349" fontId="258" fillId="0" borderId="0" applyNumberFormat="0" applyFill="0" applyBorder="0" applyAlignment="0" applyProtection="0"/>
    <xf numFmtId="349" fontId="258" fillId="0" borderId="0" applyNumberFormat="0" applyFill="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7" fontId="7" fillId="101" borderId="26">
      <alignment vertical="center"/>
    </xf>
    <xf numFmtId="171" fontId="7" fillId="101" borderId="26">
      <alignment vertical="center"/>
    </xf>
    <xf numFmtId="330" fontId="7" fillId="101" borderId="26">
      <alignment vertical="center"/>
    </xf>
    <xf numFmtId="330" fontId="7" fillId="43" borderId="26">
      <alignment vertical="center"/>
    </xf>
    <xf numFmtId="330" fontId="7" fillId="44" borderId="26">
      <alignment horizontal="right" vertical="center"/>
      <protection locked="0"/>
    </xf>
    <xf numFmtId="0" fontId="12" fillId="0" borderId="0"/>
    <xf numFmtId="0" fontId="12" fillId="0" borderId="0"/>
    <xf numFmtId="0" fontId="12" fillId="0" borderId="0"/>
    <xf numFmtId="0" fontId="12" fillId="0" borderId="0"/>
    <xf numFmtId="0" fontId="12" fillId="0" borderId="0"/>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210" fontId="64" fillId="0" borderId="28" applyFill="0"/>
    <xf numFmtId="0" fontId="12" fillId="0" borderId="0"/>
    <xf numFmtId="0" fontId="12" fillId="0" borderId="0"/>
    <xf numFmtId="164" fontId="7" fillId="0" borderId="0" applyFont="0" applyFill="0" applyBorder="0" applyAlignment="0" applyProtection="0"/>
    <xf numFmtId="0" fontId="12" fillId="0" borderId="0"/>
    <xf numFmtId="349" fontId="53" fillId="30" borderId="112" applyNumberFormat="0" applyProtection="0">
      <alignment horizontal="left" vertical="top"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4" fillId="18" borderId="112" applyNumberFormat="0" applyProtection="0">
      <alignment horizontal="left" vertical="top" indent="1"/>
    </xf>
    <xf numFmtId="4" fontId="53" fillId="45" borderId="107" applyNumberFormat="0" applyProtection="0">
      <alignment horizontal="left" vertical="center" indent="1"/>
    </xf>
    <xf numFmtId="4" fontId="253"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251" fillId="127" borderId="107" applyNumberFormat="0" applyAlignment="0" applyProtection="0"/>
    <xf numFmtId="349" fontId="251" fillId="127"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8" fillId="0" borderId="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3" fillId="45" borderId="107" applyNumberFormat="0" applyProtection="0">
      <alignment vertical="center"/>
    </xf>
    <xf numFmtId="4" fontId="53" fillId="45" borderId="107" applyNumberFormat="0" applyProtection="0">
      <alignment horizontal="left" vertical="center"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5"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19" borderId="107" applyNumberFormat="0" applyProtection="0">
      <alignment horizontal="right" vertical="center"/>
    </xf>
    <xf numFmtId="349" fontId="53" fillId="61" borderId="107" applyNumberFormat="0" applyProtection="0">
      <alignment horizontal="left" vertical="center" indent="1"/>
    </xf>
    <xf numFmtId="4" fontId="53" fillId="18" borderId="107" applyNumberFormat="0" applyProtection="0">
      <alignment vertical="center"/>
    </xf>
    <xf numFmtId="4" fontId="253" fillId="45" borderId="107" applyNumberFormat="0" applyProtection="0">
      <alignment vertical="center"/>
    </xf>
    <xf numFmtId="4" fontId="53" fillId="45" borderId="107" applyNumberFormat="0" applyProtection="0">
      <alignment horizontal="left" vertical="center" indent="1"/>
    </xf>
    <xf numFmtId="349" fontId="254"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2" borderId="107" applyNumberFormat="0" applyProtection="0">
      <alignment horizontal="left" vertical="center" indent="1"/>
    </xf>
    <xf numFmtId="349" fontId="93" fillId="31" borderId="114" applyBorder="0"/>
    <xf numFmtId="4" fontId="255" fillId="34" borderId="112" applyNumberFormat="0" applyProtection="0">
      <alignment vertical="center"/>
    </xf>
    <xf numFmtId="4" fontId="255" fillId="61" borderId="112" applyNumberFormat="0" applyProtection="0">
      <alignment horizontal="left" vertical="center" indent="1"/>
    </xf>
    <xf numFmtId="349" fontId="255" fillId="34" borderId="112" applyNumberFormat="0" applyProtection="0">
      <alignment horizontal="left" vertical="top" indent="1"/>
    </xf>
    <xf numFmtId="4" fontId="53" fillId="0" borderId="107" applyNumberFormat="0" applyProtection="0">
      <alignment horizontal="right" vertical="center"/>
    </xf>
    <xf numFmtId="4" fontId="253" fillId="50" borderId="107" applyNumberFormat="0" applyProtection="0">
      <alignment horizontal="right" vertical="center"/>
    </xf>
    <xf numFmtId="4" fontId="53" fillId="64" borderId="107" applyNumberFormat="0" applyProtection="0">
      <alignment horizontal="left" vertical="center" indent="1"/>
    </xf>
    <xf numFmtId="349" fontId="255" fillId="19" borderId="112" applyNumberFormat="0" applyProtection="0">
      <alignment horizontal="left" vertical="top" indent="1"/>
    </xf>
    <xf numFmtId="4" fontId="256" fillId="35" borderId="113" applyNumberFormat="0" applyProtection="0">
      <alignment horizontal="left" vertical="center" indent="1"/>
    </xf>
    <xf numFmtId="4" fontId="257"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251" fillId="127" borderId="107" applyNumberFormat="0" applyAlignment="0" applyProtection="0"/>
    <xf numFmtId="349" fontId="251" fillId="127" borderId="107" applyNumberFormat="0" applyAlignment="0" applyProtection="0"/>
    <xf numFmtId="4" fontId="53" fillId="23" borderId="107" applyNumberFormat="0" applyProtection="0">
      <alignment horizontal="right" vertical="center"/>
    </xf>
    <xf numFmtId="4" fontId="53" fillId="24" borderId="107" applyNumberFormat="0" applyProtection="0">
      <alignment horizontal="right" vertical="center"/>
    </xf>
    <xf numFmtId="349" fontId="53" fillId="83" borderId="107" applyNumberFormat="0" applyProtection="0">
      <alignment horizontal="left" vertical="center" indent="1"/>
    </xf>
    <xf numFmtId="210" fontId="64" fillId="0" borderId="28" applyFill="0"/>
    <xf numFmtId="4" fontId="53" fillId="26" borderId="107" applyNumberFormat="0" applyProtection="0">
      <alignment horizontal="right" vertical="center"/>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3" fillId="31" borderId="114" applyBorder="0"/>
    <xf numFmtId="4" fontId="255" fillId="34" borderId="112" applyNumberFormat="0" applyProtection="0">
      <alignment vertical="center"/>
    </xf>
    <xf numFmtId="4" fontId="255" fillId="61" borderId="112" applyNumberFormat="0" applyProtection="0">
      <alignment horizontal="left" vertical="center" indent="1"/>
    </xf>
    <xf numFmtId="349" fontId="255" fillId="34" borderId="112" applyNumberFormat="0" applyProtection="0">
      <alignment horizontal="left" vertical="top" indent="1"/>
    </xf>
    <xf numFmtId="4" fontId="53" fillId="0" borderId="107" applyNumberFormat="0" applyProtection="0">
      <alignment horizontal="right" vertical="center"/>
    </xf>
    <xf numFmtId="4" fontId="253" fillId="50" borderId="107" applyNumberFormat="0" applyProtection="0">
      <alignment horizontal="right" vertical="center"/>
    </xf>
    <xf numFmtId="4" fontId="53" fillId="64" borderId="107" applyNumberFormat="0" applyProtection="0">
      <alignment horizontal="left" vertical="center" indent="1"/>
    </xf>
    <xf numFmtId="349" fontId="255" fillId="19" borderId="112" applyNumberFormat="0" applyProtection="0">
      <alignment horizontal="left" vertical="top" indent="1"/>
    </xf>
    <xf numFmtId="4" fontId="256" fillId="35" borderId="113" applyNumberFormat="0" applyProtection="0">
      <alignment horizontal="left" vertical="center" indent="1"/>
    </xf>
    <xf numFmtId="4" fontId="257"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53" fillId="30" borderId="107" applyNumberFormat="0" applyProtection="0">
      <alignment horizontal="left" vertical="center" indent="1"/>
    </xf>
    <xf numFmtId="349" fontId="251" fillId="127" borderId="107" applyNumberFormat="0" applyAlignment="0" applyProtection="0"/>
    <xf numFmtId="349" fontId="251" fillId="127" borderId="107" applyNumberFormat="0" applyAlignment="0" applyProtection="0"/>
    <xf numFmtId="210" fontId="64" fillId="0" borderId="28" applyFill="0"/>
    <xf numFmtId="4" fontId="53" fillId="0" borderId="107" applyNumberFormat="0" applyProtection="0">
      <alignment horizontal="right" vertical="center"/>
    </xf>
    <xf numFmtId="4" fontId="253" fillId="50" borderId="107" applyNumberFormat="0" applyProtection="0">
      <alignment horizontal="right" vertical="center"/>
    </xf>
    <xf numFmtId="4" fontId="53" fillId="64" borderId="107" applyNumberFormat="0" applyProtection="0">
      <alignment horizontal="left" vertical="center" indent="1"/>
    </xf>
    <xf numFmtId="4" fontId="257" fillId="33" borderId="107" applyNumberFormat="0" applyProtection="0">
      <alignment horizontal="right" vertical="center"/>
    </xf>
    <xf numFmtId="349" fontId="251" fillId="127" borderId="107" applyNumberFormat="0" applyAlignment="0" applyProtection="0"/>
    <xf numFmtId="349" fontId="251" fillId="127"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8" fillId="0" borderId="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3" fillId="45" borderId="107" applyNumberFormat="0" applyProtection="0">
      <alignment vertical="center"/>
    </xf>
    <xf numFmtId="4" fontId="53" fillId="45" borderId="107" applyNumberFormat="0" applyProtection="0">
      <alignment horizontal="left" vertical="center" indent="1"/>
    </xf>
    <xf numFmtId="349" fontId="254"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3" fillId="31" borderId="114" applyBorder="0"/>
    <xf numFmtId="4" fontId="255" fillId="34" borderId="112" applyNumberFormat="0" applyProtection="0">
      <alignment vertical="center"/>
    </xf>
    <xf numFmtId="4" fontId="255" fillId="61" borderId="112" applyNumberFormat="0" applyProtection="0">
      <alignment horizontal="left" vertical="center" indent="1"/>
    </xf>
    <xf numFmtId="349" fontId="255" fillId="34" borderId="112" applyNumberFormat="0" applyProtection="0">
      <alignment horizontal="left" vertical="top" indent="1"/>
    </xf>
    <xf numFmtId="4" fontId="53" fillId="0" borderId="107" applyNumberFormat="0" applyProtection="0">
      <alignment horizontal="right" vertical="center"/>
    </xf>
    <xf numFmtId="4" fontId="253" fillId="50" borderId="107" applyNumberFormat="0" applyProtection="0">
      <alignment horizontal="right" vertical="center"/>
    </xf>
    <xf numFmtId="4" fontId="53" fillId="64" borderId="107" applyNumberFormat="0" applyProtection="0">
      <alignment horizontal="left" vertical="center" indent="1"/>
    </xf>
    <xf numFmtId="349" fontId="255" fillId="19" borderId="112" applyNumberFormat="0" applyProtection="0">
      <alignment horizontal="left" vertical="top" indent="1"/>
    </xf>
    <xf numFmtId="4" fontId="256" fillId="35" borderId="113" applyNumberFormat="0" applyProtection="0">
      <alignment horizontal="left" vertical="center" indent="1"/>
    </xf>
    <xf numFmtId="4" fontId="257"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210" fontId="64" fillId="0" borderId="28" applyFill="0"/>
    <xf numFmtId="349" fontId="28" fillId="0" borderId="0"/>
    <xf numFmtId="349" fontId="53" fillId="30" borderId="112" applyNumberFormat="0" applyProtection="0">
      <alignment horizontal="left" vertical="top"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4" fillId="18" borderId="112" applyNumberFormat="0" applyProtection="0">
      <alignment horizontal="left" vertical="top" indent="1"/>
    </xf>
    <xf numFmtId="4" fontId="53" fillId="45" borderId="107" applyNumberFormat="0" applyProtection="0">
      <alignment horizontal="left" vertical="center" indent="1"/>
    </xf>
    <xf numFmtId="4" fontId="253"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251" fillId="127" borderId="107" applyNumberFormat="0" applyAlignment="0" applyProtection="0"/>
    <xf numFmtId="349" fontId="251" fillId="127"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8" fillId="0" borderId="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3" fillId="45" borderId="107" applyNumberFormat="0" applyProtection="0">
      <alignment vertical="center"/>
    </xf>
    <xf numFmtId="4" fontId="53" fillId="45" borderId="107" applyNumberFormat="0" applyProtection="0">
      <alignment horizontal="left" vertical="center"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5"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19" borderId="107" applyNumberFormat="0" applyProtection="0">
      <alignment horizontal="right" vertical="center"/>
    </xf>
    <xf numFmtId="349" fontId="53" fillId="61" borderId="107" applyNumberFormat="0" applyProtection="0">
      <alignment horizontal="left" vertical="center" indent="1"/>
    </xf>
    <xf numFmtId="4" fontId="53" fillId="18" borderId="107" applyNumberFormat="0" applyProtection="0">
      <alignment vertical="center"/>
    </xf>
    <xf numFmtId="4" fontId="253" fillId="45" borderId="107" applyNumberFormat="0" applyProtection="0">
      <alignment vertical="center"/>
    </xf>
    <xf numFmtId="4" fontId="53" fillId="45" borderId="107" applyNumberFormat="0" applyProtection="0">
      <alignment horizontal="left" vertical="center" indent="1"/>
    </xf>
    <xf numFmtId="349" fontId="254"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2" borderId="107" applyNumberFormat="0" applyProtection="0">
      <alignment horizontal="left" vertical="center" indent="1"/>
    </xf>
    <xf numFmtId="349" fontId="93" fillId="31" borderId="114" applyBorder="0"/>
    <xf numFmtId="4" fontId="255" fillId="34" borderId="112" applyNumberFormat="0" applyProtection="0">
      <alignment vertical="center"/>
    </xf>
    <xf numFmtId="4" fontId="255" fillId="61" borderId="112" applyNumberFormat="0" applyProtection="0">
      <alignment horizontal="left" vertical="center" indent="1"/>
    </xf>
    <xf numFmtId="349" fontId="255" fillId="34" borderId="112" applyNumberFormat="0" applyProtection="0">
      <alignment horizontal="left" vertical="top" indent="1"/>
    </xf>
    <xf numFmtId="4" fontId="53" fillId="0" borderId="107" applyNumberFormat="0" applyProtection="0">
      <alignment horizontal="right" vertical="center"/>
    </xf>
    <xf numFmtId="4" fontId="253" fillId="50" borderId="107" applyNumberFormat="0" applyProtection="0">
      <alignment horizontal="right" vertical="center"/>
    </xf>
    <xf numFmtId="4" fontId="53" fillId="64" borderId="107" applyNumberFormat="0" applyProtection="0">
      <alignment horizontal="left" vertical="center" indent="1"/>
    </xf>
    <xf numFmtId="349" fontId="255" fillId="19" borderId="112" applyNumberFormat="0" applyProtection="0">
      <alignment horizontal="left" vertical="top" indent="1"/>
    </xf>
    <xf numFmtId="4" fontId="256" fillId="35" borderId="113" applyNumberFormat="0" applyProtection="0">
      <alignment horizontal="left" vertical="center" indent="1"/>
    </xf>
    <xf numFmtId="4" fontId="257"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251" fillId="127" borderId="107" applyNumberFormat="0" applyAlignment="0" applyProtection="0"/>
    <xf numFmtId="349" fontId="251" fillId="127" borderId="107" applyNumberFormat="0" applyAlignment="0" applyProtection="0"/>
    <xf numFmtId="4" fontId="53" fillId="23" borderId="107" applyNumberFormat="0" applyProtection="0">
      <alignment horizontal="right" vertical="center"/>
    </xf>
    <xf numFmtId="4" fontId="53" fillId="24" borderId="107" applyNumberFormat="0" applyProtection="0">
      <alignment horizontal="right" vertical="center"/>
    </xf>
    <xf numFmtId="349" fontId="53" fillId="83" borderId="107" applyNumberFormat="0" applyProtection="0">
      <alignment horizontal="left" vertical="center" indent="1"/>
    </xf>
    <xf numFmtId="210" fontId="64" fillId="0" borderId="28" applyFill="0"/>
    <xf numFmtId="4" fontId="53" fillId="26" borderId="107" applyNumberFormat="0" applyProtection="0">
      <alignment horizontal="right" vertical="center"/>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3" fillId="31" borderId="114" applyBorder="0"/>
    <xf numFmtId="4" fontId="255" fillId="34" borderId="112" applyNumberFormat="0" applyProtection="0">
      <alignment vertical="center"/>
    </xf>
    <xf numFmtId="4" fontId="255" fillId="61" borderId="112" applyNumberFormat="0" applyProtection="0">
      <alignment horizontal="left" vertical="center" indent="1"/>
    </xf>
    <xf numFmtId="349" fontId="255" fillId="34" borderId="112" applyNumberFormat="0" applyProtection="0">
      <alignment horizontal="left" vertical="top" indent="1"/>
    </xf>
    <xf numFmtId="4" fontId="53" fillId="0" borderId="107" applyNumberFormat="0" applyProtection="0">
      <alignment horizontal="right" vertical="center"/>
    </xf>
    <xf numFmtId="4" fontId="253" fillId="50" borderId="107" applyNumberFormat="0" applyProtection="0">
      <alignment horizontal="right" vertical="center"/>
    </xf>
    <xf numFmtId="4" fontId="53" fillId="64" borderId="107" applyNumberFormat="0" applyProtection="0">
      <alignment horizontal="left" vertical="center" indent="1"/>
    </xf>
    <xf numFmtId="349" fontId="255" fillId="19" borderId="112" applyNumberFormat="0" applyProtection="0">
      <alignment horizontal="left" vertical="top" indent="1"/>
    </xf>
    <xf numFmtId="4" fontId="256" fillId="35" borderId="113" applyNumberFormat="0" applyProtection="0">
      <alignment horizontal="left" vertical="center" indent="1"/>
    </xf>
    <xf numFmtId="4" fontId="257"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53" fillId="30" borderId="107" applyNumberFormat="0" applyProtection="0">
      <alignment horizontal="left" vertical="center" indent="1"/>
    </xf>
    <xf numFmtId="349" fontId="251" fillId="127" borderId="107" applyNumberFormat="0" applyAlignment="0" applyProtection="0"/>
    <xf numFmtId="349" fontId="251" fillId="127" borderId="107" applyNumberFormat="0" applyAlignment="0" applyProtection="0"/>
    <xf numFmtId="210" fontId="64" fillId="0" borderId="28" applyFill="0"/>
    <xf numFmtId="4" fontId="53" fillId="0" borderId="107" applyNumberFormat="0" applyProtection="0">
      <alignment horizontal="right" vertical="center"/>
    </xf>
    <xf numFmtId="4" fontId="253" fillId="50" borderId="107" applyNumberFormat="0" applyProtection="0">
      <alignment horizontal="right" vertical="center"/>
    </xf>
    <xf numFmtId="4" fontId="53" fillId="64" borderId="107" applyNumberFormat="0" applyProtection="0">
      <alignment horizontal="left" vertical="center" indent="1"/>
    </xf>
    <xf numFmtId="4" fontId="257" fillId="33" borderId="107" applyNumberFormat="0" applyProtection="0">
      <alignment horizontal="right" vertical="center"/>
    </xf>
    <xf numFmtId="349" fontId="53" fillId="32" borderId="112" applyNumberFormat="0" applyProtection="0">
      <alignment horizontal="left" vertical="top" indent="1"/>
    </xf>
    <xf numFmtId="4" fontId="255" fillId="61" borderId="112" applyNumberFormat="0" applyProtection="0">
      <alignment horizontal="left" vertical="center" indent="1"/>
    </xf>
    <xf numFmtId="4" fontId="255" fillId="34" borderId="112" applyNumberFormat="0" applyProtection="0">
      <alignment vertical="center"/>
    </xf>
    <xf numFmtId="349" fontId="9" fillId="32" borderId="112" applyNumberFormat="0" applyProtection="0">
      <alignment horizontal="left" vertical="top" indent="1"/>
    </xf>
    <xf numFmtId="349" fontId="53" fillId="32" borderId="107" applyNumberFormat="0" applyProtection="0">
      <alignment horizontal="left" vertical="center" indent="1"/>
    </xf>
    <xf numFmtId="349" fontId="53" fillId="31" borderId="112" applyNumberFormat="0" applyProtection="0">
      <alignment horizontal="left" vertical="top" indent="1"/>
    </xf>
    <xf numFmtId="349" fontId="53" fillId="13" borderId="107" applyNumberFormat="0" applyFont="0" applyAlignment="0" applyProtection="0"/>
    <xf numFmtId="349" fontId="53" fillId="30" borderId="112" applyNumberFormat="0" applyProtection="0">
      <alignment horizontal="left" vertical="top" indent="1"/>
    </xf>
    <xf numFmtId="349" fontId="53" fillId="19" borderId="112" applyNumberFormat="0" applyProtection="0">
      <alignment horizontal="left" vertical="top" indent="1"/>
    </xf>
    <xf numFmtId="349" fontId="251" fillId="127" borderId="107" applyNumberFormat="0" applyAlignment="0" applyProtection="0"/>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57" fillId="33" borderId="107" applyNumberFormat="0" applyProtection="0">
      <alignment horizontal="right" vertical="center"/>
    </xf>
    <xf numFmtId="4" fontId="256" fillId="35" borderId="113" applyNumberFormat="0" applyProtection="0">
      <alignment horizontal="left" vertical="center" indent="1"/>
    </xf>
    <xf numFmtId="349" fontId="255" fillId="19" borderId="112" applyNumberFormat="0" applyProtection="0">
      <alignment horizontal="left" vertical="top" indent="1"/>
    </xf>
    <xf numFmtId="4" fontId="53" fillId="64" borderId="107" applyNumberFormat="0" applyProtection="0">
      <alignment horizontal="left" vertical="center" indent="1"/>
    </xf>
    <xf numFmtId="4" fontId="253" fillId="50" borderId="107" applyNumberFormat="0" applyProtection="0">
      <alignment horizontal="right" vertical="center"/>
    </xf>
    <xf numFmtId="4" fontId="53" fillId="0" borderId="107" applyNumberFormat="0" applyProtection="0">
      <alignment horizontal="right" vertical="center"/>
    </xf>
    <xf numFmtId="349" fontId="255" fillId="34"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4" fillId="18" borderId="112" applyNumberFormat="0" applyProtection="0">
      <alignment horizontal="left" vertical="top" indent="1"/>
    </xf>
    <xf numFmtId="4" fontId="53" fillId="45" borderId="107" applyNumberFormat="0" applyProtection="0">
      <alignment horizontal="left" vertical="center" indent="1"/>
    </xf>
    <xf numFmtId="4" fontId="253"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28" fillId="0" borderId="0"/>
    <xf numFmtId="349" fontId="142" fillId="14" borderId="107" applyNumberFormat="0" applyAlignment="0" applyProtection="0"/>
    <xf numFmtId="349" fontId="142" fillId="14" borderId="107" applyNumberFormat="0" applyAlignment="0" applyProtection="0"/>
    <xf numFmtId="349" fontId="251" fillId="127" borderId="107" applyNumberFormat="0" applyAlignment="0" applyProtection="0"/>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349" fontId="93" fillId="31" borderId="114" applyBorder="0"/>
    <xf numFmtId="349" fontId="53" fillId="13" borderId="107" applyNumberFormat="0" applyFont="0" applyAlignment="0" applyProtection="0"/>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255" fillId="19" borderId="112" applyNumberFormat="0" applyProtection="0">
      <alignment horizontal="left" vertical="top" indent="1"/>
    </xf>
    <xf numFmtId="349" fontId="53" fillId="30" borderId="107" applyNumberFormat="0" applyProtection="0">
      <alignment horizontal="left" vertical="center" indent="1"/>
    </xf>
    <xf numFmtId="210" fontId="64" fillId="0" borderId="28" applyFill="0"/>
    <xf numFmtId="349" fontId="251" fillId="127" borderId="107" applyNumberFormat="0" applyAlignment="0" applyProtection="0"/>
    <xf numFmtId="349" fontId="251" fillId="127" borderId="107" applyNumberForma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164" fontId="7" fillId="0" borderId="0" applyFont="0" applyFill="0" applyBorder="0" applyAlignment="0" applyProtection="0"/>
    <xf numFmtId="349" fontId="53" fillId="30" borderId="112" applyNumberFormat="0" applyProtection="0">
      <alignment horizontal="left" vertical="top" indent="1"/>
    </xf>
    <xf numFmtId="164" fontId="6" fillId="0" borderId="0" applyFont="0" applyFill="0" applyBorder="0" applyAlignment="0" applyProtection="0"/>
    <xf numFmtId="349" fontId="93" fillId="31" borderId="114" applyBorder="0"/>
    <xf numFmtId="4" fontId="53" fillId="24" borderId="107" applyNumberFormat="0" applyProtection="0">
      <alignment horizontal="right" vertical="center"/>
    </xf>
    <xf numFmtId="349" fontId="53" fillId="13" borderId="107" applyNumberFormat="0" applyFont="0" applyAlignment="0" applyProtection="0"/>
    <xf numFmtId="4" fontId="53" fillId="19" borderId="113" applyNumberFormat="0" applyProtection="0">
      <alignment horizontal="left" vertical="center" indent="1"/>
    </xf>
    <xf numFmtId="4" fontId="53" fillId="25" borderId="107" applyNumberFormat="0" applyProtection="0">
      <alignment horizontal="right" vertical="center"/>
    </xf>
    <xf numFmtId="349" fontId="53" fillId="61" borderId="107" applyNumberFormat="0" applyProtection="0">
      <alignment horizontal="left" vertical="center" indent="1"/>
    </xf>
    <xf numFmtId="4" fontId="256" fillId="35" borderId="113" applyNumberFormat="0" applyProtection="0">
      <alignment horizontal="left" vertical="center" indent="1"/>
    </xf>
    <xf numFmtId="349" fontId="255" fillId="19" borderId="112" applyNumberFormat="0" applyProtection="0">
      <alignment horizontal="left" vertical="top" indent="1"/>
    </xf>
    <xf numFmtId="4" fontId="253" fillId="50" borderId="107" applyNumberFormat="0" applyProtection="0">
      <alignment horizontal="right" vertical="center"/>
    </xf>
    <xf numFmtId="4" fontId="53" fillId="0" borderId="107" applyNumberFormat="0" applyProtection="0">
      <alignment horizontal="right" vertical="center"/>
    </xf>
    <xf numFmtId="349" fontId="255" fillId="34" borderId="112" applyNumberFormat="0" applyProtection="0">
      <alignment horizontal="left" vertical="top" indent="1"/>
    </xf>
    <xf numFmtId="4" fontId="255" fillId="34" borderId="112" applyNumberFormat="0" applyProtection="0">
      <alignment vertical="center"/>
    </xf>
    <xf numFmtId="349" fontId="93" fillId="31" borderId="114" applyBorder="0"/>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210" fontId="64" fillId="0" borderId="28" applyFill="0"/>
    <xf numFmtId="349" fontId="53" fillId="83" borderId="107" applyNumberFormat="0" applyProtection="0">
      <alignment horizontal="left" vertical="center" indent="1"/>
    </xf>
    <xf numFmtId="4" fontId="53" fillId="23" borderId="107" applyNumberFormat="0" applyProtection="0">
      <alignment horizontal="right" vertical="center"/>
    </xf>
    <xf numFmtId="349" fontId="251" fillId="127" borderId="107" applyNumberForma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9" fillId="30" borderId="112" applyNumberFormat="0" applyProtection="0">
      <alignment horizontal="left" vertical="center" indent="1"/>
    </xf>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57" fillId="33" borderId="107" applyNumberFormat="0" applyProtection="0">
      <alignment horizontal="right" vertical="center"/>
    </xf>
    <xf numFmtId="4" fontId="256" fillId="35" borderId="113" applyNumberFormat="0" applyProtection="0">
      <alignment horizontal="left" vertical="center" indent="1"/>
    </xf>
    <xf numFmtId="349" fontId="255" fillId="19" borderId="112" applyNumberFormat="0" applyProtection="0">
      <alignment horizontal="left" vertical="top" indent="1"/>
    </xf>
    <xf numFmtId="4" fontId="53" fillId="64" borderId="107" applyNumberFormat="0" applyProtection="0">
      <alignment horizontal="left" vertical="center" indent="1"/>
    </xf>
    <xf numFmtId="4" fontId="253" fillId="50" borderId="107" applyNumberFormat="0" applyProtection="0">
      <alignment horizontal="right" vertical="center"/>
    </xf>
    <xf numFmtId="4" fontId="53" fillId="0" borderId="107" applyNumberFormat="0" applyProtection="0">
      <alignment horizontal="right" vertical="center"/>
    </xf>
    <xf numFmtId="349" fontId="255" fillId="34" borderId="112" applyNumberFormat="0" applyProtection="0">
      <alignment horizontal="left" vertical="top" indent="1"/>
    </xf>
    <xf numFmtId="4" fontId="255" fillId="61" borderId="112" applyNumberFormat="0" applyProtection="0">
      <alignment horizontal="left" vertical="center" indent="1"/>
    </xf>
    <xf numFmtId="4" fontId="255" fillId="34" borderId="112" applyNumberFormat="0" applyProtection="0">
      <alignment vertical="center"/>
    </xf>
    <xf numFmtId="349" fontId="93" fillId="31" borderId="114" applyBorder="0"/>
    <xf numFmtId="349" fontId="53" fillId="32"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4" fillId="18" borderId="112" applyNumberFormat="0" applyProtection="0">
      <alignment horizontal="left" vertical="top" indent="1"/>
    </xf>
    <xf numFmtId="4" fontId="53" fillId="45" borderId="107" applyNumberFormat="0" applyProtection="0">
      <alignment horizontal="left" vertical="center" indent="1"/>
    </xf>
    <xf numFmtId="4" fontId="253" fillId="45" borderId="107" applyNumberFormat="0" applyProtection="0">
      <alignment vertical="center"/>
    </xf>
    <xf numFmtId="4" fontId="53" fillId="18" borderId="107" applyNumberFormat="0" applyProtection="0">
      <alignmen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4" fontId="53" fillId="45" borderId="107" applyNumberFormat="0" applyProtection="0">
      <alignment horizontal="left" vertical="center" indent="1"/>
    </xf>
    <xf numFmtId="4" fontId="253"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51" fillId="127" borderId="107" applyNumberFormat="0" applyAlignment="0" applyProtection="0"/>
    <xf numFmtId="349" fontId="251" fillId="127"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3" fillId="45" borderId="107" applyNumberFormat="0" applyProtection="0">
      <alignment vertical="center"/>
    </xf>
    <xf numFmtId="4" fontId="53" fillId="45" borderId="107" applyNumberFormat="0" applyProtection="0">
      <alignment horizontal="left" vertical="center" indent="1"/>
    </xf>
    <xf numFmtId="349" fontId="254"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255" fillId="19"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164" fontId="13" fillId="0" borderId="0" applyFont="0" applyFill="0" applyBorder="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164" fontId="13"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349" fontId="53" fillId="31" borderId="112" applyNumberFormat="0" applyProtection="0">
      <alignment horizontal="left" vertical="top" indent="1"/>
    </xf>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4" fillId="18" borderId="112" applyNumberFormat="0" applyProtection="0">
      <alignment horizontal="left" vertical="top" indent="1"/>
    </xf>
    <xf numFmtId="4" fontId="53" fillId="45" borderId="107" applyNumberFormat="0" applyProtection="0">
      <alignment horizontal="left" vertical="center" indent="1"/>
    </xf>
    <xf numFmtId="4" fontId="253"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4" fontId="53" fillId="0" borderId="107" applyNumberFormat="0" applyProtection="0">
      <alignment horizontal="right" vertical="center"/>
    </xf>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57" fillId="33" borderId="107" applyNumberFormat="0" applyProtection="0">
      <alignment horizontal="right" vertical="center"/>
    </xf>
    <xf numFmtId="4" fontId="256" fillId="35" borderId="113" applyNumberFormat="0" applyProtection="0">
      <alignment horizontal="left" vertical="center" indent="1"/>
    </xf>
    <xf numFmtId="4" fontId="53" fillId="64" borderId="107" applyNumberFormat="0" applyProtection="0">
      <alignment horizontal="left" vertical="center" indent="1"/>
    </xf>
    <xf numFmtId="4" fontId="253" fillId="50" borderId="107" applyNumberFormat="0" applyProtection="0">
      <alignment horizontal="right" vertical="center"/>
    </xf>
    <xf numFmtId="4" fontId="53" fillId="0" borderId="107" applyNumberFormat="0" applyProtection="0">
      <alignment horizontal="right" vertical="center"/>
    </xf>
    <xf numFmtId="349" fontId="255" fillId="34" borderId="112" applyNumberFormat="0" applyProtection="0">
      <alignment horizontal="left" vertical="top" indent="1"/>
    </xf>
    <xf numFmtId="4" fontId="255" fillId="61" borderId="112" applyNumberFormat="0" applyProtection="0">
      <alignment horizontal="left" vertical="center" indent="1"/>
    </xf>
    <xf numFmtId="4" fontId="255" fillId="34" borderId="112" applyNumberFormat="0" applyProtection="0">
      <alignment vertical="center"/>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4" fontId="53" fillId="26" borderId="107" applyNumberFormat="0" applyProtection="0">
      <alignment horizontal="right" vertical="center"/>
    </xf>
    <xf numFmtId="210" fontId="64" fillId="0" borderId="28" applyFill="0"/>
    <xf numFmtId="349" fontId="53" fillId="83" borderId="107" applyNumberFormat="0" applyProtection="0">
      <alignment horizontal="left" vertical="center" indent="1"/>
    </xf>
    <xf numFmtId="4" fontId="53" fillId="24" borderId="107" applyNumberFormat="0" applyProtection="0">
      <alignment horizontal="right" vertical="center"/>
    </xf>
    <xf numFmtId="4" fontId="53" fillId="23" borderId="107" applyNumberFormat="0" applyProtection="0">
      <alignment horizontal="right" vertical="center"/>
    </xf>
    <xf numFmtId="349" fontId="251" fillId="127" borderId="107" applyNumberFormat="0" applyAlignment="0" applyProtection="0"/>
    <xf numFmtId="349" fontId="251" fillId="127" borderId="107" applyNumberForma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9" fillId="30" borderId="112" applyNumberFormat="0" applyProtection="0">
      <alignment horizontal="left" vertical="center" indent="1"/>
    </xf>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57" fillId="33" borderId="107" applyNumberFormat="0" applyProtection="0">
      <alignment horizontal="right" vertical="center"/>
    </xf>
    <xf numFmtId="4" fontId="256" fillId="35" borderId="113" applyNumberFormat="0" applyProtection="0">
      <alignment horizontal="left" vertical="center" indent="1"/>
    </xf>
    <xf numFmtId="349" fontId="255" fillId="19" borderId="112" applyNumberFormat="0" applyProtection="0">
      <alignment horizontal="left" vertical="top" indent="1"/>
    </xf>
    <xf numFmtId="4" fontId="53" fillId="64" borderId="107" applyNumberFormat="0" applyProtection="0">
      <alignment horizontal="left" vertical="center" indent="1"/>
    </xf>
    <xf numFmtId="4" fontId="253" fillId="50" borderId="107" applyNumberFormat="0" applyProtection="0">
      <alignment horizontal="right" vertical="center"/>
    </xf>
    <xf numFmtId="4" fontId="53" fillId="0" borderId="107" applyNumberFormat="0" applyProtection="0">
      <alignment horizontal="right" vertical="center"/>
    </xf>
    <xf numFmtId="349" fontId="255" fillId="34" borderId="112" applyNumberFormat="0" applyProtection="0">
      <alignment horizontal="left" vertical="top" indent="1"/>
    </xf>
    <xf numFmtId="4" fontId="255" fillId="61" borderId="112" applyNumberFormat="0" applyProtection="0">
      <alignment horizontal="left" vertical="center" indent="1"/>
    </xf>
    <xf numFmtId="4" fontId="255" fillId="34" borderId="112" applyNumberFormat="0" applyProtection="0">
      <alignment vertical="center"/>
    </xf>
    <xf numFmtId="349" fontId="93" fillId="31" borderId="114" applyBorder="0"/>
    <xf numFmtId="349" fontId="53" fillId="32"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4" fillId="18" borderId="112" applyNumberFormat="0" applyProtection="0">
      <alignment horizontal="left" vertical="top" indent="1"/>
    </xf>
    <xf numFmtId="4" fontId="53" fillId="45" borderId="107" applyNumberFormat="0" applyProtection="0">
      <alignment horizontal="left" vertical="center" indent="1"/>
    </xf>
    <xf numFmtId="4" fontId="253" fillId="45" borderId="107" applyNumberFormat="0" applyProtection="0">
      <alignment vertical="center"/>
    </xf>
    <xf numFmtId="4" fontId="53" fillId="18" borderId="107" applyNumberFormat="0" applyProtection="0">
      <alignment vertical="center"/>
    </xf>
    <xf numFmtId="349" fontId="53" fillId="61" borderId="107" applyNumberFormat="0" applyProtection="0">
      <alignment horizontal="left" vertical="center" indent="1"/>
    </xf>
    <xf numFmtId="4" fontId="53" fillId="19" borderId="107" applyNumberFormat="0" applyProtection="0">
      <alignment horizontal="right" vertical="center"/>
    </xf>
    <xf numFmtId="4" fontId="53" fillId="28" borderId="107" applyNumberFormat="0" applyProtection="0">
      <alignment horizontal="right" vertical="center"/>
    </xf>
    <xf numFmtId="4" fontId="53" fillId="27" borderId="107" applyNumberFormat="0" applyProtection="0">
      <alignment horizontal="right" vertical="center"/>
    </xf>
    <xf numFmtId="4" fontId="53" fillId="25" borderId="107"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4" fontId="53" fillId="45" borderId="107" applyNumberFormat="0" applyProtection="0">
      <alignment horizontal="left" vertical="center" indent="1"/>
    </xf>
    <xf numFmtId="4" fontId="253"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51" fillId="127" borderId="107" applyNumberFormat="0" applyAlignment="0" applyProtection="0"/>
    <xf numFmtId="349" fontId="251" fillId="127"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3" fillId="45" borderId="107" applyNumberFormat="0" applyProtection="0">
      <alignment vertical="center"/>
    </xf>
    <xf numFmtId="4" fontId="53" fillId="45" borderId="107" applyNumberFormat="0" applyProtection="0">
      <alignment horizontal="left" vertical="center" indent="1"/>
    </xf>
    <xf numFmtId="349" fontId="254"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53" fillId="30" borderId="112" applyNumberFormat="0" applyProtection="0">
      <alignment horizontal="left" vertical="top" indent="1"/>
    </xf>
    <xf numFmtId="4" fontId="255" fillId="61" borderId="112" applyNumberFormat="0" applyProtection="0">
      <alignment horizontal="left" vertical="center" indent="1"/>
    </xf>
    <xf numFmtId="210" fontId="64" fillId="0" borderId="28" applyFill="0"/>
    <xf numFmtId="349" fontId="53" fillId="30" borderId="112" applyNumberFormat="0" applyProtection="0">
      <alignment horizontal="left" vertical="top" indent="1"/>
    </xf>
    <xf numFmtId="349" fontId="255" fillId="19" borderId="112" applyNumberFormat="0" applyProtection="0">
      <alignment horizontal="left" vertical="top" indent="1"/>
    </xf>
    <xf numFmtId="349" fontId="53" fillId="32" borderId="112" applyNumberFormat="0" applyProtection="0">
      <alignment horizontal="left" vertical="top" indent="1"/>
    </xf>
    <xf numFmtId="349" fontId="53" fillId="31" borderId="112" applyNumberFormat="0" applyProtection="0">
      <alignment horizontal="left" vertical="top" indent="1"/>
    </xf>
    <xf numFmtId="4" fontId="53" fillId="27" borderId="107" applyNumberFormat="0" applyProtection="0">
      <alignment horizontal="right" vertical="center"/>
    </xf>
    <xf numFmtId="349" fontId="53" fillId="19" borderId="112" applyNumberFormat="0" applyProtection="0">
      <alignment horizontal="left" vertical="top" indent="1"/>
    </xf>
    <xf numFmtId="164" fontId="12" fillId="0" borderId="0" applyFont="0" applyFill="0" applyBorder="0" applyAlignment="0" applyProtection="0"/>
    <xf numFmtId="349" fontId="53" fillId="19"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4" fontId="53" fillId="64" borderId="107" applyNumberFormat="0" applyProtection="0">
      <alignment horizontal="left" vertical="center" indent="1"/>
    </xf>
    <xf numFmtId="349" fontId="53" fillId="32" borderId="112" applyNumberFormat="0" applyProtection="0">
      <alignment horizontal="left" vertical="top" indent="1"/>
    </xf>
    <xf numFmtId="349" fontId="15" fillId="0" borderId="116" applyNumberFormat="0" applyFill="0" applyAlignment="0" applyProtection="0"/>
    <xf numFmtId="349" fontId="15" fillId="0" borderId="116" applyNumberFormat="0" applyFill="0" applyAlignment="0" applyProtection="0"/>
    <xf numFmtId="4" fontId="53" fillId="28" borderId="107" applyNumberFormat="0" applyProtection="0">
      <alignment horizontal="right" vertical="center"/>
    </xf>
    <xf numFmtId="349" fontId="53" fillId="30" borderId="112" applyNumberFormat="0" applyProtection="0">
      <alignment horizontal="left" vertical="top" indent="1"/>
    </xf>
    <xf numFmtId="37" fontId="64" fillId="0" borderId="115" applyNumberFormat="0"/>
    <xf numFmtId="349" fontId="53" fillId="19" borderId="112" applyNumberFormat="0" applyProtection="0">
      <alignment horizontal="left" vertical="top" indent="1"/>
    </xf>
    <xf numFmtId="349" fontId="254" fillId="18" borderId="112" applyNumberFormat="0" applyProtection="0">
      <alignment horizontal="left" vertical="top" indent="1"/>
    </xf>
    <xf numFmtId="349" fontId="53" fillId="13" borderId="107" applyNumberFormat="0" applyFont="0" applyAlignment="0" applyProtection="0"/>
    <xf numFmtId="4" fontId="257" fillId="33" borderId="107" applyNumberFormat="0" applyProtection="0">
      <alignment horizontal="right" vertical="center"/>
    </xf>
    <xf numFmtId="4" fontId="256" fillId="35" borderId="113" applyNumberFormat="0" applyProtection="0">
      <alignment horizontal="left" vertical="center" indent="1"/>
    </xf>
    <xf numFmtId="349" fontId="255" fillId="19" borderId="112" applyNumberFormat="0" applyProtection="0">
      <alignment horizontal="left" vertical="top" indent="1"/>
    </xf>
    <xf numFmtId="4" fontId="53" fillId="64" borderId="107" applyNumberFormat="0" applyProtection="0">
      <alignment horizontal="left" vertical="center" indent="1"/>
    </xf>
    <xf numFmtId="4" fontId="253" fillId="50" borderId="107" applyNumberFormat="0" applyProtection="0">
      <alignment horizontal="right" vertical="center"/>
    </xf>
    <xf numFmtId="4" fontId="53" fillId="0" borderId="107" applyNumberFormat="0" applyProtection="0">
      <alignment horizontal="right" vertical="center"/>
    </xf>
    <xf numFmtId="349" fontId="255" fillId="34" borderId="112" applyNumberFormat="0" applyProtection="0">
      <alignment horizontal="left" vertical="top" indent="1"/>
    </xf>
    <xf numFmtId="4" fontId="255" fillId="61" borderId="112" applyNumberFormat="0" applyProtection="0">
      <alignment horizontal="left" vertical="center" indent="1"/>
    </xf>
    <xf numFmtId="4" fontId="255" fillId="34" borderId="112" applyNumberFormat="0" applyProtection="0">
      <alignment vertical="center"/>
    </xf>
    <xf numFmtId="349" fontId="93" fillId="31" borderId="114" applyBorder="0"/>
    <xf numFmtId="4" fontId="53" fillId="25" borderId="107" applyNumberFormat="0" applyProtection="0">
      <alignment horizontal="right" vertical="center"/>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4" fillId="18" borderId="112" applyNumberFormat="0" applyProtection="0">
      <alignment horizontal="left" vertical="top" indent="1"/>
    </xf>
    <xf numFmtId="4" fontId="53" fillId="45" borderId="107" applyNumberFormat="0" applyProtection="0">
      <alignment horizontal="left" vertical="center" indent="1"/>
    </xf>
    <xf numFmtId="4" fontId="253" fillId="45" borderId="107" applyNumberFormat="0" applyProtection="0">
      <alignment vertical="center"/>
    </xf>
    <xf numFmtId="4" fontId="53" fillId="18" borderId="107" applyNumberFormat="0" applyProtection="0">
      <alignment vertical="center"/>
    </xf>
    <xf numFmtId="4" fontId="53" fillId="27" borderId="107" applyNumberFormat="0" applyProtection="0">
      <alignment horizontal="right" vertical="center"/>
    </xf>
    <xf numFmtId="4" fontId="53" fillId="25" borderId="107" applyNumberFormat="0" applyProtection="0">
      <alignment horizontal="right" vertical="center"/>
    </xf>
    <xf numFmtId="349" fontId="184" fillId="127" borderId="111" applyNumberFormat="0" applyAlignment="0" applyProtection="0"/>
    <xf numFmtId="349" fontId="53" fillId="61" borderId="107" applyNumberFormat="0" applyProtection="0">
      <alignment horizontal="left" vertical="center" indent="1"/>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130" borderId="107" applyNumberFormat="0" applyProtection="0">
      <alignment horizontal="right" vertical="center"/>
    </xf>
    <xf numFmtId="349" fontId="53" fillId="13" borderId="107" applyNumberFormat="0" applyFont="0" applyAlignment="0" applyProtection="0"/>
    <xf numFmtId="4" fontId="53" fillId="22" borderId="113"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4" fontId="53" fillId="20" borderId="107" applyNumberFormat="0" applyProtection="0">
      <alignment horizontal="right" vertical="center"/>
    </xf>
    <xf numFmtId="4" fontId="53" fillId="18" borderId="107" applyNumberFormat="0" applyProtection="0">
      <alignment vertical="center"/>
    </xf>
    <xf numFmtId="4" fontId="53" fillId="24" borderId="107" applyNumberFormat="0" applyProtection="0">
      <alignment horizontal="right" vertical="center"/>
    </xf>
    <xf numFmtId="4" fontId="253" fillId="45" borderId="107" applyNumberFormat="0" applyProtection="0">
      <alignment vertical="center"/>
    </xf>
    <xf numFmtId="164" fontId="12" fillId="0" borderId="0" applyFont="0" applyFill="0" applyBorder="0" applyAlignment="0" applyProtection="0"/>
    <xf numFmtId="349" fontId="142" fillId="14" borderId="107" applyNumberFormat="0" applyAlignment="0" applyProtection="0"/>
    <xf numFmtId="349" fontId="53" fillId="61" borderId="107" applyNumberFormat="0" applyProtection="0">
      <alignment horizontal="left" vertical="center" indent="1"/>
    </xf>
    <xf numFmtId="349" fontId="53" fillId="13" borderId="107" applyNumberFormat="0" applyFont="0" applyAlignment="0" applyProtection="0"/>
    <xf numFmtId="349" fontId="142" fillId="14" borderId="107" applyNumberFormat="0" applyAlignment="0" applyProtection="0"/>
    <xf numFmtId="4" fontId="253" fillId="45" borderId="107" applyNumberFormat="0" applyProtection="0">
      <alignment vertical="center"/>
    </xf>
    <xf numFmtId="164" fontId="12" fillId="0" borderId="0" applyFont="0" applyFill="0" applyBorder="0" applyAlignment="0" applyProtection="0"/>
    <xf numFmtId="4" fontId="53" fillId="19" borderId="107" applyNumberFormat="0" applyProtection="0">
      <alignment horizontal="right" vertical="center"/>
    </xf>
    <xf numFmtId="4" fontId="53" fillId="18" borderId="107" applyNumberFormat="0" applyProtection="0">
      <alignment vertical="center"/>
    </xf>
    <xf numFmtId="4" fontId="53" fillId="18" borderId="107" applyNumberFormat="0" applyProtection="0">
      <alignment vertical="center"/>
    </xf>
    <xf numFmtId="4" fontId="53" fillId="19" borderId="107" applyNumberFormat="0" applyProtection="0">
      <alignment horizontal="right" vertical="center"/>
    </xf>
    <xf numFmtId="4" fontId="53" fillId="23"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4" fontId="53" fillId="130" borderId="107" applyNumberFormat="0" applyProtection="0">
      <alignment horizontal="right" vertical="center"/>
    </xf>
    <xf numFmtId="4" fontId="53" fillId="45" borderId="107" applyNumberFormat="0" applyProtection="0">
      <alignment horizontal="left" vertical="center" indent="1"/>
    </xf>
    <xf numFmtId="349" fontId="53" fillId="32" borderId="107" applyNumberFormat="0" applyProtection="0">
      <alignment horizontal="left" vertical="center" indent="1"/>
    </xf>
    <xf numFmtId="349" fontId="53" fillId="13" borderId="107" applyNumberFormat="0" applyFont="0" applyAlignment="0" applyProtection="0"/>
    <xf numFmtId="349" fontId="93" fillId="31" borderId="114" applyBorder="0"/>
    <xf numFmtId="349" fontId="15" fillId="0" borderId="116" applyNumberFormat="0" applyFill="0" applyAlignment="0" applyProtection="0"/>
    <xf numFmtId="164" fontId="12" fillId="0" borderId="0" applyFont="0" applyFill="0" applyBorder="0" applyAlignment="0" applyProtection="0"/>
    <xf numFmtId="349" fontId="251" fillId="127" borderId="107" applyNumberFormat="0" applyAlignment="0" applyProtection="0"/>
    <xf numFmtId="4" fontId="53" fillId="24" borderId="107" applyNumberFormat="0" applyProtection="0">
      <alignment horizontal="right" vertical="center"/>
    </xf>
    <xf numFmtId="349" fontId="53" fillId="13" borderId="107" applyNumberFormat="0" applyFon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349" fontId="255" fillId="19" borderId="112" applyNumberFormat="0" applyProtection="0">
      <alignment horizontal="left" vertical="top" indent="1"/>
    </xf>
    <xf numFmtId="349" fontId="15" fillId="0" borderId="116" applyNumberFormat="0" applyFill="0" applyAlignment="0" applyProtection="0"/>
    <xf numFmtId="349" fontId="53" fillId="13" borderId="107" applyNumberFormat="0" applyFont="0" applyAlignment="0" applyProtection="0"/>
    <xf numFmtId="4" fontId="253" fillId="45" borderId="107" applyNumberFormat="0" applyProtection="0">
      <alignment vertical="center"/>
    </xf>
    <xf numFmtId="349" fontId="53" fillId="83" borderId="107" applyNumberFormat="0" applyProtection="0">
      <alignment horizontal="left" vertical="center" indent="1"/>
    </xf>
    <xf numFmtId="37" fontId="64" fillId="0" borderId="115" applyNumberFormat="0"/>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53" fillId="19" borderId="112" applyNumberFormat="0" applyProtection="0">
      <alignment horizontal="left" vertical="top" indent="1"/>
    </xf>
    <xf numFmtId="349" fontId="9" fillId="32" borderId="112" applyNumberFormat="0" applyProtection="0">
      <alignment horizontal="left" vertical="top" indent="1"/>
    </xf>
    <xf numFmtId="349" fontId="53" fillId="19" borderId="112" applyNumberFormat="0" applyProtection="0">
      <alignment horizontal="left" vertical="top" indent="1"/>
    </xf>
    <xf numFmtId="349" fontId="53" fillId="61" borderId="107" applyNumberFormat="0" applyProtection="0">
      <alignment horizontal="left" vertical="center" indent="1"/>
    </xf>
    <xf numFmtId="4" fontId="53" fillId="28" borderId="107" applyNumberFormat="0" applyProtection="0">
      <alignment horizontal="right" vertical="center"/>
    </xf>
    <xf numFmtId="4" fontId="53" fillId="130" borderId="107" applyNumberFormat="0" applyProtection="0">
      <alignment horizontal="right" vertical="center"/>
    </xf>
    <xf numFmtId="4" fontId="53" fillId="64" borderId="107" applyNumberFormat="0" applyProtection="0">
      <alignment horizontal="left" vertical="center" indent="1"/>
    </xf>
    <xf numFmtId="4" fontId="253" fillId="45" borderId="107" applyNumberFormat="0" applyProtection="0">
      <alignment vertical="center"/>
    </xf>
    <xf numFmtId="4" fontId="257" fillId="33" borderId="107" applyNumberFormat="0" applyProtection="0">
      <alignment horizontal="right" vertical="center"/>
    </xf>
    <xf numFmtId="349" fontId="53" fillId="30" borderId="112" applyNumberFormat="0" applyProtection="0">
      <alignment horizontal="left" vertical="top" indent="1"/>
    </xf>
    <xf numFmtId="349" fontId="53" fillId="30" borderId="112" applyNumberFormat="0" applyProtection="0">
      <alignment horizontal="left" vertical="top" indent="1"/>
    </xf>
    <xf numFmtId="164" fontId="12" fillId="0" borderId="0" applyFont="0" applyFill="0" applyBorder="0" applyAlignment="0" applyProtection="0"/>
    <xf numFmtId="4" fontId="53" fillId="64" borderId="107" applyNumberFormat="0" applyProtection="0">
      <alignment horizontal="left" vertical="center" indent="1"/>
    </xf>
    <xf numFmtId="4" fontId="255" fillId="61" borderId="112" applyNumberFormat="0" applyProtection="0">
      <alignment horizontal="left" vertical="center" indent="1"/>
    </xf>
    <xf numFmtId="4" fontId="53" fillId="26" borderId="107" applyNumberFormat="0" applyProtection="0">
      <alignment horizontal="right" vertical="center"/>
    </xf>
    <xf numFmtId="4" fontId="53" fillId="24" borderId="107" applyNumberFormat="0" applyProtection="0">
      <alignment horizontal="right" vertical="center"/>
    </xf>
    <xf numFmtId="349" fontId="251" fillId="127" borderId="107" applyNumberFormat="0" applyAlignment="0" applyProtection="0"/>
    <xf numFmtId="164" fontId="12" fillId="0" borderId="0" applyFont="0" applyFill="0" applyBorder="0" applyAlignment="0" applyProtection="0"/>
    <xf numFmtId="164" fontId="12" fillId="0" borderId="0" applyFont="0" applyFill="0" applyBorder="0" applyAlignment="0" applyProtection="0"/>
    <xf numFmtId="349" fontId="53" fillId="30" borderId="112" applyNumberFormat="0" applyProtection="0">
      <alignment horizontal="left" vertical="top" indent="1"/>
    </xf>
    <xf numFmtId="4" fontId="253" fillId="45" borderId="107" applyNumberFormat="0" applyProtection="0">
      <alignment vertical="center"/>
    </xf>
    <xf numFmtId="4" fontId="53" fillId="20" borderId="107" applyNumberFormat="0" applyProtection="0">
      <alignment horizontal="right" vertical="center"/>
    </xf>
    <xf numFmtId="349" fontId="53" fillId="61" borderId="107" applyNumberFormat="0" applyProtection="0">
      <alignment horizontal="left" vertical="center" indent="1"/>
    </xf>
    <xf numFmtId="4" fontId="53" fillId="28" borderId="107" applyNumberFormat="0" applyProtection="0">
      <alignment horizontal="right" vertical="center"/>
    </xf>
    <xf numFmtId="4" fontId="53" fillId="25" borderId="107" applyNumberFormat="0" applyProtection="0">
      <alignment horizontal="right" vertical="center"/>
    </xf>
    <xf numFmtId="4" fontId="53" fillId="130" borderId="107" applyNumberFormat="0" applyProtection="0">
      <alignment horizontal="right" vertical="center"/>
    </xf>
    <xf numFmtId="4" fontId="53" fillId="27" borderId="107" applyNumberFormat="0" applyProtection="0">
      <alignment horizontal="right" vertical="center"/>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2" borderId="107" applyNumberFormat="0" applyProtection="0">
      <alignment horizontal="left" vertical="center"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184" fillId="127" borderId="111" applyNumberFormat="0" applyAlignment="0" applyProtection="0"/>
    <xf numFmtId="4" fontId="53" fillId="19" borderId="107" applyNumberFormat="0" applyProtection="0">
      <alignment horizontal="right" vertical="center"/>
    </xf>
    <xf numFmtId="164" fontId="7" fillId="0" borderId="0" applyFont="0" applyFill="0" applyBorder="0" applyAlignment="0" applyProtection="0"/>
    <xf numFmtId="4" fontId="53" fillId="23" borderId="107" applyNumberFormat="0" applyProtection="0">
      <alignment horizontal="right" vertical="center"/>
    </xf>
    <xf numFmtId="349" fontId="9" fillId="19" borderId="112" applyNumberFormat="0" applyProtection="0">
      <alignment horizontal="left" vertical="top" indent="1"/>
    </xf>
    <xf numFmtId="349" fontId="142" fillId="14" borderId="107" applyNumberFormat="0" applyAlignment="0" applyProtection="0"/>
    <xf numFmtId="349" fontId="15" fillId="0" borderId="116" applyNumberFormat="0" applyFill="0" applyAlignment="0" applyProtection="0"/>
    <xf numFmtId="349" fontId="9" fillId="30" borderId="112" applyNumberFormat="0" applyProtection="0">
      <alignment horizontal="left" vertical="top" indent="1"/>
    </xf>
    <xf numFmtId="4" fontId="253" fillId="50" borderId="107" applyNumberFormat="0" applyProtection="0">
      <alignment horizontal="right" vertical="center"/>
    </xf>
    <xf numFmtId="4" fontId="53" fillId="45" borderId="107" applyNumberFormat="0" applyProtection="0">
      <alignment horizontal="left" vertical="center"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251" fillId="127" borderId="107" applyNumberFormat="0" applyAlignment="0" applyProtection="0"/>
    <xf numFmtId="349" fontId="142" fillId="14" borderId="107" applyNumberFormat="0" applyAlignment="0" applyProtection="0"/>
    <xf numFmtId="349" fontId="53" fillId="13" borderId="107" applyNumberFormat="0" applyFont="0" applyAlignment="0" applyProtection="0"/>
    <xf numFmtId="349" fontId="184" fillId="127" borderId="111" applyNumberFormat="0" applyAlignment="0" applyProtection="0"/>
    <xf numFmtId="4" fontId="255" fillId="34" borderId="112" applyNumberFormat="0" applyProtection="0">
      <alignment vertical="center"/>
    </xf>
    <xf numFmtId="349" fontId="53" fillId="32" borderId="112" applyNumberFormat="0" applyProtection="0">
      <alignment horizontal="left" vertical="top" indent="1"/>
    </xf>
    <xf numFmtId="349" fontId="251" fillId="127" borderId="107" applyNumberFormat="0" applyAlignment="0" applyProtection="0"/>
    <xf numFmtId="349" fontId="53" fillId="13" borderId="107" applyNumberFormat="0" applyFont="0" applyAlignment="0" applyProtection="0"/>
    <xf numFmtId="4" fontId="53" fillId="0" borderId="107" applyNumberFormat="0" applyProtection="0">
      <alignment horizontal="right" vertical="center"/>
    </xf>
    <xf numFmtId="349" fontId="53" fillId="31" borderId="112" applyNumberFormat="0" applyProtection="0">
      <alignment horizontal="left" vertical="top" indent="1"/>
    </xf>
    <xf numFmtId="349" fontId="53" fillId="30" borderId="112" applyNumberFormat="0" applyProtection="0">
      <alignment horizontal="left" vertical="top" indent="1"/>
    </xf>
    <xf numFmtId="4" fontId="256" fillId="35" borderId="113" applyNumberFormat="0" applyProtection="0">
      <alignment horizontal="left" vertical="center" indent="1"/>
    </xf>
    <xf numFmtId="349" fontId="142" fillId="14" borderId="107" applyNumberFormat="0" applyAlignment="0" applyProtection="0"/>
    <xf numFmtId="349" fontId="53" fillId="19" borderId="112" applyNumberFormat="0" applyProtection="0">
      <alignment horizontal="left" vertical="top" indent="1"/>
    </xf>
    <xf numFmtId="349" fontId="53" fillId="30" borderId="112" applyNumberFormat="0" applyProtection="0">
      <alignment horizontal="left" vertical="top" indent="1"/>
    </xf>
    <xf numFmtId="349" fontId="53" fillId="30" borderId="107" applyNumberFormat="0" applyProtection="0">
      <alignment horizontal="left" vertical="center" indent="1"/>
    </xf>
    <xf numFmtId="4" fontId="53" fillId="20" borderId="107" applyNumberFormat="0" applyProtection="0">
      <alignment horizontal="right" vertical="center"/>
    </xf>
    <xf numFmtId="4" fontId="53" fillId="0" borderId="107" applyNumberFormat="0" applyProtection="0">
      <alignment horizontal="right" vertical="center"/>
    </xf>
    <xf numFmtId="210" fontId="64" fillId="0" borderId="28" applyFill="0"/>
    <xf numFmtId="349" fontId="53" fillId="13" borderId="107" applyNumberFormat="0" applyFont="0" applyAlignment="0" applyProtection="0"/>
    <xf numFmtId="4" fontId="53" fillId="64"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3" borderId="107" applyNumberFormat="0" applyFont="0" applyAlignment="0" applyProtection="0"/>
    <xf numFmtId="4" fontId="53" fillId="24" borderId="107" applyNumberFormat="0" applyProtection="0">
      <alignment horizontal="right" vertical="center"/>
    </xf>
    <xf numFmtId="349" fontId="53" fillId="32" borderId="112" applyNumberFormat="0" applyProtection="0">
      <alignment horizontal="left" vertical="top" indent="1"/>
    </xf>
    <xf numFmtId="4" fontId="53" fillId="64" borderId="107" applyNumberFormat="0" applyProtection="0">
      <alignment horizontal="left" vertical="center" indent="1"/>
    </xf>
    <xf numFmtId="349" fontId="53" fillId="31" borderId="112" applyNumberFormat="0" applyProtection="0">
      <alignment horizontal="left" vertical="top" indent="1"/>
    </xf>
    <xf numFmtId="349" fontId="251" fillId="127" borderId="107" applyNumberFormat="0" applyAlignment="0" applyProtection="0"/>
    <xf numFmtId="4" fontId="255" fillId="61" borderId="112" applyNumberFormat="0" applyProtection="0">
      <alignment horizontal="left" vertical="center" indent="1"/>
    </xf>
    <xf numFmtId="349" fontId="15" fillId="0" borderId="116" applyNumberFormat="0" applyFill="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4" fontId="53" fillId="64" borderId="107" applyNumberFormat="0" applyProtection="0">
      <alignment horizontal="left" vertical="center" indent="1"/>
    </xf>
    <xf numFmtId="349" fontId="251" fillId="127" borderId="107" applyNumberFormat="0" applyAlignment="0" applyProtection="0"/>
    <xf numFmtId="4" fontId="257" fillId="33" borderId="107" applyNumberFormat="0" applyProtection="0">
      <alignment horizontal="right" vertical="center"/>
    </xf>
    <xf numFmtId="349" fontId="93" fillId="31" borderId="114" applyBorder="0"/>
    <xf numFmtId="349" fontId="53" fillId="13" borderId="107" applyNumberFormat="0" applyFont="0" applyAlignment="0" applyProtection="0"/>
    <xf numFmtId="4" fontId="53" fillId="64" borderId="107" applyNumberFormat="0" applyProtection="0">
      <alignment horizontal="left" vertical="center"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3" borderId="107" applyNumberFormat="0" applyFont="0" applyAlignment="0" applyProtection="0"/>
    <xf numFmtId="349" fontId="184" fillId="127" borderId="111" applyNumberFormat="0" applyAlignment="0" applyProtection="0"/>
    <xf numFmtId="4" fontId="53" fillId="20" borderId="107" applyNumberFormat="0" applyProtection="0">
      <alignment horizontal="right" vertical="center"/>
    </xf>
    <xf numFmtId="349" fontId="53" fillId="31" borderId="112" applyNumberFormat="0" applyProtection="0">
      <alignment horizontal="left" vertical="top" indent="1"/>
    </xf>
    <xf numFmtId="349" fontId="93" fillId="31" borderId="114" applyBorder="0"/>
    <xf numFmtId="4" fontId="53" fillId="28" borderId="107" applyNumberFormat="0" applyProtection="0">
      <alignment horizontal="right" vertical="center"/>
    </xf>
    <xf numFmtId="349" fontId="53" fillId="31" borderId="112" applyNumberFormat="0" applyProtection="0">
      <alignment horizontal="left" vertical="top" indent="1"/>
    </xf>
    <xf numFmtId="349" fontId="53" fillId="30" borderId="112" applyNumberFormat="0" applyProtection="0">
      <alignment horizontal="left" vertical="top" indent="1"/>
    </xf>
    <xf numFmtId="4" fontId="53" fillId="26" borderId="107" applyNumberFormat="0" applyProtection="0">
      <alignment horizontal="right" vertical="center"/>
    </xf>
    <xf numFmtId="349" fontId="53" fillId="32" borderId="112" applyNumberFormat="0" applyProtection="0">
      <alignment horizontal="left" vertical="top" indent="1"/>
    </xf>
    <xf numFmtId="349" fontId="9" fillId="32" borderId="112" applyNumberFormat="0" applyProtection="0">
      <alignment horizontal="left" vertical="center" indent="1"/>
    </xf>
    <xf numFmtId="4" fontId="53" fillId="0" borderId="107" applyNumberFormat="0" applyProtection="0">
      <alignment horizontal="right" vertical="center"/>
    </xf>
    <xf numFmtId="349" fontId="53" fillId="19" borderId="112" applyNumberFormat="0" applyProtection="0">
      <alignment horizontal="left" vertical="top" indent="1"/>
    </xf>
    <xf numFmtId="349" fontId="251" fillId="127" borderId="107" applyNumberFormat="0" applyAlignment="0" applyProtection="0"/>
    <xf numFmtId="349" fontId="142" fillId="14" borderId="107" applyNumberFormat="0" applyAlignment="0" applyProtection="0"/>
    <xf numFmtId="4" fontId="53" fillId="45" borderId="107" applyNumberFormat="0" applyProtection="0">
      <alignment horizontal="left" vertical="center" indent="1"/>
    </xf>
    <xf numFmtId="4" fontId="255" fillId="61" borderId="112" applyNumberFormat="0" applyProtection="0">
      <alignment horizontal="left" vertical="center" indent="1"/>
    </xf>
    <xf numFmtId="4" fontId="53" fillId="28" borderId="107" applyNumberFormat="0" applyProtection="0">
      <alignment horizontal="right" vertical="center"/>
    </xf>
    <xf numFmtId="4" fontId="253" fillId="50" borderId="107" applyNumberFormat="0" applyProtection="0">
      <alignment horizontal="right" vertical="center"/>
    </xf>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4" fontId="257" fillId="33" borderId="107" applyNumberFormat="0" applyProtection="0">
      <alignment horizontal="right" vertical="center"/>
    </xf>
    <xf numFmtId="349" fontId="251" fillId="127"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0" borderId="107" applyNumberFormat="0" applyProtection="0">
      <alignment horizontal="right" vertical="center"/>
    </xf>
    <xf numFmtId="164" fontId="12" fillId="0" borderId="0" applyFont="0" applyFill="0" applyBorder="0" applyAlignment="0" applyProtection="0"/>
    <xf numFmtId="349" fontId="53" fillId="13" borderId="107" applyNumberFormat="0" applyFont="0" applyAlignment="0" applyProtection="0"/>
    <xf numFmtId="349" fontId="251" fillId="127" borderId="107" applyNumberFormat="0" applyAlignment="0" applyProtection="0"/>
    <xf numFmtId="349" fontId="255" fillId="34" borderId="112" applyNumberFormat="0" applyProtection="0">
      <alignment horizontal="left" vertical="top" indent="1"/>
    </xf>
    <xf numFmtId="349" fontId="9" fillId="30" borderId="112" applyNumberFormat="0" applyProtection="0">
      <alignment horizontal="left" vertical="center" indent="1"/>
    </xf>
    <xf numFmtId="4" fontId="257" fillId="33" borderId="107" applyNumberFormat="0" applyProtection="0">
      <alignment horizontal="right" vertical="center"/>
    </xf>
    <xf numFmtId="349" fontId="53" fillId="30" borderId="107" applyNumberFormat="0" applyProtection="0">
      <alignment horizontal="left" vertical="center" indent="1"/>
    </xf>
    <xf numFmtId="349" fontId="53" fillId="83" borderId="107" applyNumberFormat="0" applyProtection="0">
      <alignment horizontal="left" vertical="center" indent="1"/>
    </xf>
    <xf numFmtId="4" fontId="53" fillId="20" borderId="107" applyNumberFormat="0" applyProtection="0">
      <alignment horizontal="right" vertical="center"/>
    </xf>
    <xf numFmtId="349" fontId="53" fillId="19" borderId="112" applyNumberFormat="0" applyProtection="0">
      <alignment horizontal="left" vertical="top" indent="1"/>
    </xf>
    <xf numFmtId="349" fontId="53" fillId="83" borderId="107" applyNumberFormat="0" applyProtection="0">
      <alignment horizontal="left" vertical="center" indent="1"/>
    </xf>
    <xf numFmtId="349" fontId="53" fillId="13" borderId="107" applyNumberFormat="0" applyFon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349" fontId="53" fillId="13" borderId="107" applyNumberFormat="0" applyFont="0" applyAlignment="0" applyProtection="0"/>
    <xf numFmtId="4" fontId="53" fillId="23" borderId="107" applyNumberFormat="0" applyProtection="0">
      <alignment horizontal="right" vertical="center"/>
    </xf>
    <xf numFmtId="349" fontId="53" fillId="32" borderId="107" applyNumberFormat="0" applyProtection="0">
      <alignment horizontal="left" vertical="center" indent="1"/>
    </xf>
    <xf numFmtId="349" fontId="53" fillId="30" borderId="112" applyNumberFormat="0" applyProtection="0">
      <alignment horizontal="left" vertical="top" indent="1"/>
    </xf>
    <xf numFmtId="4" fontId="53" fillId="19" borderId="107" applyNumberFormat="0" applyProtection="0">
      <alignment horizontal="right" vertical="center"/>
    </xf>
    <xf numFmtId="349" fontId="255" fillId="34" borderId="112" applyNumberFormat="0" applyProtection="0">
      <alignment horizontal="left" vertical="top" indent="1"/>
    </xf>
    <xf numFmtId="349" fontId="15" fillId="0" borderId="116" applyNumberFormat="0" applyFill="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37" fontId="64" fillId="0" borderId="115" applyNumberFormat="0"/>
    <xf numFmtId="349" fontId="53" fillId="19" borderId="112" applyNumberFormat="0" applyProtection="0">
      <alignment horizontal="left" vertical="top" indent="1"/>
    </xf>
    <xf numFmtId="349" fontId="53" fillId="13" borderId="107" applyNumberFormat="0" applyFont="0" applyAlignment="0" applyProtection="0"/>
    <xf numFmtId="349" fontId="53" fillId="30" borderId="112" applyNumberFormat="0" applyProtection="0">
      <alignment horizontal="left" vertical="top" indent="1"/>
    </xf>
    <xf numFmtId="349" fontId="251" fillId="127" borderId="107" applyNumberFormat="0" applyAlignment="0" applyProtection="0"/>
    <xf numFmtId="349" fontId="53" fillId="31" borderId="112" applyNumberFormat="0" applyProtection="0">
      <alignment horizontal="left" vertical="top" indent="1"/>
    </xf>
    <xf numFmtId="349" fontId="53" fillId="32" borderId="112" applyNumberFormat="0" applyProtection="0">
      <alignment horizontal="left" vertical="top" indent="1"/>
    </xf>
    <xf numFmtId="4" fontId="255" fillId="34" borderId="112" applyNumberFormat="0" applyProtection="0">
      <alignment vertical="center"/>
    </xf>
    <xf numFmtId="37" fontId="64" fillId="0" borderId="115" applyNumberFormat="0"/>
    <xf numFmtId="349" fontId="53" fillId="13" borderId="107" applyNumberFormat="0" applyFont="0" applyAlignment="0" applyProtection="0"/>
    <xf numFmtId="349" fontId="53" fillId="31" borderId="112" applyNumberFormat="0" applyProtection="0">
      <alignment horizontal="left" vertical="top" indent="1"/>
    </xf>
    <xf numFmtId="4" fontId="53" fillId="20" borderId="107" applyNumberFormat="0" applyProtection="0">
      <alignment horizontal="right" vertical="center"/>
    </xf>
    <xf numFmtId="349" fontId="142" fillId="14" borderId="107" applyNumberFormat="0" applyAlignment="0" applyProtection="0"/>
    <xf numFmtId="4" fontId="253" fillId="50" borderId="107" applyNumberFormat="0" applyProtection="0">
      <alignment horizontal="right" vertical="center"/>
    </xf>
    <xf numFmtId="349" fontId="53" fillId="31" borderId="112" applyNumberFormat="0" applyProtection="0">
      <alignment horizontal="left" vertical="top" indent="1"/>
    </xf>
    <xf numFmtId="4" fontId="256" fillId="35" borderId="113"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4" fontId="53" fillId="30" borderId="113" applyNumberFormat="0" applyProtection="0">
      <alignment horizontal="left" vertical="center" indent="1"/>
    </xf>
    <xf numFmtId="349" fontId="255" fillId="34" borderId="112" applyNumberFormat="0" applyProtection="0">
      <alignment horizontal="left" vertical="top" indent="1"/>
    </xf>
    <xf numFmtId="349" fontId="53" fillId="31" borderId="112" applyNumberFormat="0" applyProtection="0">
      <alignment horizontal="left" vertical="top" indent="1"/>
    </xf>
    <xf numFmtId="4" fontId="53" fillId="18" borderId="107" applyNumberFormat="0" applyProtection="0">
      <alignment vertical="center"/>
    </xf>
    <xf numFmtId="4" fontId="53" fillId="64" borderId="107" applyNumberFormat="0" applyProtection="0">
      <alignment horizontal="left" vertical="center" indent="1"/>
    </xf>
    <xf numFmtId="4" fontId="9" fillId="31" borderId="113" applyNumberFormat="0" applyProtection="0">
      <alignment horizontal="left" vertical="center" indent="1"/>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0" borderId="112" applyNumberFormat="0" applyProtection="0">
      <alignment horizontal="left" vertical="top" indent="1"/>
    </xf>
    <xf numFmtId="4" fontId="255" fillId="61" borderId="112" applyNumberFormat="0" applyProtection="0">
      <alignment horizontal="left" vertical="center" indent="1"/>
    </xf>
    <xf numFmtId="4" fontId="253" fillId="50" borderId="107" applyNumberFormat="0" applyProtection="0">
      <alignment horizontal="right" vertical="center"/>
    </xf>
    <xf numFmtId="349" fontId="53" fillId="13" borderId="107" applyNumberFormat="0" applyFont="0" applyAlignment="0" applyProtection="0"/>
    <xf numFmtId="349" fontId="53" fillId="30" borderId="112" applyNumberFormat="0" applyProtection="0">
      <alignment horizontal="left" vertical="top" indent="1"/>
    </xf>
    <xf numFmtId="349" fontId="53" fillId="19" borderId="112" applyNumberFormat="0" applyProtection="0">
      <alignment horizontal="left" vertical="top" indent="1"/>
    </xf>
    <xf numFmtId="4" fontId="257"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53" fillId="30" borderId="107" applyNumberFormat="0" applyProtection="0">
      <alignment horizontal="left" vertical="center" indent="1"/>
    </xf>
    <xf numFmtId="349" fontId="251" fillId="127" borderId="107" applyNumberFormat="0" applyAlignment="0" applyProtection="0"/>
    <xf numFmtId="349" fontId="251" fillId="127" borderId="107" applyNumberFormat="0" applyAlignment="0" applyProtection="0"/>
    <xf numFmtId="210" fontId="64" fillId="0" borderId="28" applyFill="0"/>
    <xf numFmtId="4" fontId="53" fillId="0" borderId="107" applyNumberFormat="0" applyProtection="0">
      <alignment horizontal="right" vertical="center"/>
    </xf>
    <xf numFmtId="4" fontId="253" fillId="50" borderId="107" applyNumberFormat="0" applyProtection="0">
      <alignment horizontal="right" vertical="center"/>
    </xf>
    <xf numFmtId="4" fontId="53" fillId="64" borderId="107" applyNumberFormat="0" applyProtection="0">
      <alignment horizontal="left" vertical="center" indent="1"/>
    </xf>
    <xf numFmtId="4" fontId="257" fillId="33" borderId="107" applyNumberFormat="0" applyProtection="0">
      <alignment horizontal="right" vertical="center"/>
    </xf>
    <xf numFmtId="349" fontId="53" fillId="32" borderId="112" applyNumberFormat="0" applyProtection="0">
      <alignment horizontal="left" vertical="top" indent="1"/>
    </xf>
    <xf numFmtId="4" fontId="255" fillId="61" borderId="112" applyNumberFormat="0" applyProtection="0">
      <alignment horizontal="left" vertical="center" indent="1"/>
    </xf>
    <xf numFmtId="4" fontId="255" fillId="34" borderId="112" applyNumberFormat="0" applyProtection="0">
      <alignment vertical="center"/>
    </xf>
    <xf numFmtId="349" fontId="9" fillId="32" borderId="112" applyNumberFormat="0" applyProtection="0">
      <alignment horizontal="left" vertical="top" indent="1"/>
    </xf>
    <xf numFmtId="349" fontId="53" fillId="32" borderId="107" applyNumberFormat="0" applyProtection="0">
      <alignment horizontal="left" vertical="center" indent="1"/>
    </xf>
    <xf numFmtId="349" fontId="53" fillId="31" borderId="112" applyNumberFormat="0" applyProtection="0">
      <alignment horizontal="left" vertical="top" indent="1"/>
    </xf>
    <xf numFmtId="349" fontId="53" fillId="13" borderId="107" applyNumberFormat="0" applyFont="0" applyAlignment="0" applyProtection="0"/>
    <xf numFmtId="349" fontId="53" fillId="30" borderId="112" applyNumberFormat="0" applyProtection="0">
      <alignment horizontal="left" vertical="top" indent="1"/>
    </xf>
    <xf numFmtId="349" fontId="53" fillId="19" borderId="112" applyNumberFormat="0" applyProtection="0">
      <alignment horizontal="left" vertical="top" indent="1"/>
    </xf>
    <xf numFmtId="349" fontId="251" fillId="127" borderId="107" applyNumberFormat="0" applyAlignment="0" applyProtection="0"/>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57" fillId="33" borderId="107" applyNumberFormat="0" applyProtection="0">
      <alignment horizontal="right" vertical="center"/>
    </xf>
    <xf numFmtId="4" fontId="256" fillId="35" borderId="113" applyNumberFormat="0" applyProtection="0">
      <alignment horizontal="left" vertical="center" indent="1"/>
    </xf>
    <xf numFmtId="349" fontId="255" fillId="19" borderId="112" applyNumberFormat="0" applyProtection="0">
      <alignment horizontal="left" vertical="top" indent="1"/>
    </xf>
    <xf numFmtId="4" fontId="53" fillId="64" borderId="107" applyNumberFormat="0" applyProtection="0">
      <alignment horizontal="left" vertical="center" indent="1"/>
    </xf>
    <xf numFmtId="4" fontId="253" fillId="50" borderId="107" applyNumberFormat="0" applyProtection="0">
      <alignment horizontal="right" vertical="center"/>
    </xf>
    <xf numFmtId="4" fontId="53" fillId="0" borderId="107" applyNumberFormat="0" applyProtection="0">
      <alignment horizontal="right" vertical="center"/>
    </xf>
    <xf numFmtId="349" fontId="255" fillId="34"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4" fillId="18" borderId="112" applyNumberFormat="0" applyProtection="0">
      <alignment horizontal="left" vertical="top" indent="1"/>
    </xf>
    <xf numFmtId="4" fontId="53" fillId="45" borderId="107" applyNumberFormat="0" applyProtection="0">
      <alignment horizontal="left" vertical="center" indent="1"/>
    </xf>
    <xf numFmtId="4" fontId="253"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142" fillId="14" borderId="107" applyNumberFormat="0" applyAlignment="0" applyProtection="0"/>
    <xf numFmtId="349" fontId="251" fillId="127" borderId="107" applyNumberFormat="0" applyAlignment="0" applyProtection="0"/>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349" fontId="93" fillId="31" borderId="114" applyBorder="0"/>
    <xf numFmtId="349" fontId="53" fillId="13" borderId="107" applyNumberFormat="0" applyFont="0" applyAlignment="0" applyProtection="0"/>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top" indent="1"/>
    </xf>
    <xf numFmtId="4" fontId="253" fillId="50" borderId="107" applyNumberFormat="0" applyProtection="0">
      <alignment horizontal="right" vertical="center"/>
    </xf>
    <xf numFmtId="4" fontId="53" fillId="64" borderId="107" applyNumberFormat="0" applyProtection="0">
      <alignment horizontal="left" vertical="center" indent="1"/>
    </xf>
    <xf numFmtId="349" fontId="255" fillId="19" borderId="112" applyNumberFormat="0" applyProtection="0">
      <alignment horizontal="left" vertical="top" indent="1"/>
    </xf>
    <xf numFmtId="4" fontId="256" fillId="35" borderId="113" applyNumberFormat="0" applyProtection="0">
      <alignment horizontal="left" vertical="center" indent="1"/>
    </xf>
    <xf numFmtId="37" fontId="64" fillId="0" borderId="115" applyNumberFormat="0"/>
    <xf numFmtId="349" fontId="15" fillId="0" borderId="116" applyNumberFormat="0" applyFill="0" applyAlignment="0" applyProtection="0"/>
    <xf numFmtId="349" fontId="53" fillId="32" borderId="112" applyNumberFormat="0" applyProtection="0">
      <alignment horizontal="left" vertical="top" indent="1"/>
    </xf>
    <xf numFmtId="349" fontId="53" fillId="19" borderId="112" applyNumberFormat="0" applyProtection="0">
      <alignment horizontal="left" vertical="top" indent="1"/>
    </xf>
    <xf numFmtId="4" fontId="53" fillId="23" borderId="107" applyNumberFormat="0" applyProtection="0">
      <alignment horizontal="right" vertical="center"/>
    </xf>
    <xf numFmtId="349" fontId="53" fillId="83"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349" fontId="53" fillId="30" borderId="107" applyNumberFormat="0" applyProtection="0">
      <alignment horizontal="left" vertical="center" indent="1"/>
    </xf>
    <xf numFmtId="210" fontId="64" fillId="0" borderId="28" applyFill="0"/>
    <xf numFmtId="4" fontId="255" fillId="34" borderId="112" applyNumberFormat="0" applyProtection="0">
      <alignment vertical="center"/>
    </xf>
    <xf numFmtId="349" fontId="15" fillId="0" borderId="116" applyNumberFormat="0" applyFill="0" applyAlignment="0" applyProtection="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18" borderId="107" applyNumberFormat="0" applyProtection="0">
      <alignment vertical="center"/>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9" fillId="30" borderId="112" applyNumberFormat="0" applyProtection="0">
      <alignment horizontal="left" vertical="center" indent="1"/>
    </xf>
    <xf numFmtId="349" fontId="251" fillId="127" borderId="107" applyNumberFormat="0" applyAlignment="0" applyProtection="0"/>
    <xf numFmtId="349" fontId="53" fillId="30" borderId="107" applyNumberFormat="0" applyProtection="0">
      <alignment horizontal="left" vertical="center" indent="1"/>
    </xf>
    <xf numFmtId="349" fontId="53" fillId="32" borderId="112" applyNumberFormat="0" applyProtection="0">
      <alignment horizontal="left" vertical="top" indent="1"/>
    </xf>
    <xf numFmtId="37" fontId="64" fillId="0" borderId="115" applyNumberFormat="0"/>
    <xf numFmtId="349" fontId="53" fillId="13" borderId="107" applyNumberFormat="0" applyFont="0" applyAlignment="0" applyProtection="0"/>
    <xf numFmtId="4" fontId="256" fillId="35" borderId="113" applyNumberFormat="0" applyProtection="0">
      <alignment horizontal="left" vertical="center" indent="1"/>
    </xf>
    <xf numFmtId="164" fontId="12" fillId="0" borderId="0" applyFont="0" applyFill="0" applyBorder="0" applyAlignment="0" applyProtection="0"/>
    <xf numFmtId="349" fontId="53" fillId="13" borderId="107" applyNumberFormat="0" applyFont="0" applyAlignment="0" applyProtection="0"/>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4" fontId="255" fillId="34" borderId="112" applyNumberFormat="0" applyProtection="0">
      <alignment vertical="center"/>
    </xf>
    <xf numFmtId="4" fontId="257" fillId="33" borderId="107" applyNumberFormat="0" applyProtection="0">
      <alignment horizontal="right" vertical="center"/>
    </xf>
    <xf numFmtId="349" fontId="15" fillId="0" borderId="116" applyNumberFormat="0" applyFill="0" applyAlignment="0" applyProtection="0"/>
    <xf numFmtId="349" fontId="9" fillId="30" borderId="112" applyNumberFormat="0" applyProtection="0">
      <alignment horizontal="left" vertical="top" indent="1"/>
    </xf>
    <xf numFmtId="4" fontId="53" fillId="26" borderId="107" applyNumberFormat="0" applyProtection="0">
      <alignment horizontal="right" vertical="center"/>
    </xf>
    <xf numFmtId="4" fontId="257" fillId="33" borderId="107" applyNumberFormat="0" applyProtection="0">
      <alignment horizontal="right" vertical="center"/>
    </xf>
    <xf numFmtId="349" fontId="15" fillId="0" borderId="116" applyNumberFormat="0" applyFill="0" applyAlignment="0" applyProtection="0"/>
    <xf numFmtId="349" fontId="9" fillId="30" borderId="112" applyNumberFormat="0" applyProtection="0">
      <alignment horizontal="left" vertical="center" indent="1"/>
    </xf>
    <xf numFmtId="349" fontId="53" fillId="19" borderId="112" applyNumberFormat="0" applyProtection="0">
      <alignment horizontal="left" vertical="top" indent="1"/>
    </xf>
    <xf numFmtId="349" fontId="251" fillId="127" borderId="107" applyNumberFormat="0" applyAlignment="0" applyProtection="0"/>
    <xf numFmtId="4" fontId="53" fillId="24" borderId="107" applyNumberFormat="0" applyProtection="0">
      <alignment horizontal="right" vertical="center"/>
    </xf>
    <xf numFmtId="210" fontId="64" fillId="0" borderId="28" applyFill="0"/>
    <xf numFmtId="349" fontId="53" fillId="13" borderId="107" applyNumberFormat="0" applyFont="0" applyAlignment="0" applyProtection="0"/>
    <xf numFmtId="349" fontId="255" fillId="34" borderId="112" applyNumberFormat="0" applyProtection="0">
      <alignment horizontal="left" vertical="top" indent="1"/>
    </xf>
    <xf numFmtId="4" fontId="255" fillId="34" borderId="112" applyNumberFormat="0" applyProtection="0">
      <alignment vertical="center"/>
    </xf>
    <xf numFmtId="349" fontId="53" fillId="13" borderId="107" applyNumberFormat="0" applyFont="0" applyAlignment="0" applyProtection="0"/>
    <xf numFmtId="349" fontId="53" fillId="13" borderId="107" applyNumberFormat="0" applyFont="0" applyAlignment="0" applyProtection="0"/>
    <xf numFmtId="349" fontId="254" fillId="18" borderId="112" applyNumberFormat="0" applyProtection="0">
      <alignment horizontal="left" vertical="top" indent="1"/>
    </xf>
    <xf numFmtId="4" fontId="53" fillId="25" borderId="107" applyNumberFormat="0" applyProtection="0">
      <alignment horizontal="right" vertical="center"/>
    </xf>
    <xf numFmtId="4" fontId="53" fillId="19" borderId="107" applyNumberFormat="0" applyProtection="0">
      <alignment horizontal="right" vertical="center"/>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142" fillId="14" borderId="107" applyNumberFormat="0" applyAlignment="0" applyProtection="0"/>
    <xf numFmtId="37" fontId="64" fillId="0" borderId="115" applyNumberFormat="0"/>
    <xf numFmtId="349" fontId="53" fillId="30" borderId="107" applyNumberFormat="0" applyProtection="0">
      <alignment horizontal="left" vertical="center"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4" fontId="53" fillId="29" borderId="113" applyNumberFormat="0" applyProtection="0">
      <alignment horizontal="left" vertical="center" indent="1"/>
    </xf>
    <xf numFmtId="349" fontId="142" fillId="14" borderId="107" applyNumberFormat="0" applyAlignment="0" applyProtection="0"/>
    <xf numFmtId="4" fontId="253" fillId="50" borderId="107" applyNumberFormat="0" applyProtection="0">
      <alignment horizontal="right" vertical="center"/>
    </xf>
    <xf numFmtId="4" fontId="255" fillId="34" borderId="112" applyNumberFormat="0" applyProtection="0">
      <alignment vertical="center"/>
    </xf>
    <xf numFmtId="349" fontId="53" fillId="30" borderId="112" applyNumberFormat="0" applyProtection="0">
      <alignment horizontal="left" vertical="top" indent="1"/>
    </xf>
    <xf numFmtId="4" fontId="255" fillId="61" borderId="112" applyNumberFormat="0" applyProtection="0">
      <alignment horizontal="left" vertical="center" indent="1"/>
    </xf>
    <xf numFmtId="349" fontId="9" fillId="30" borderId="112" applyNumberFormat="0" applyProtection="0">
      <alignment horizontal="left" vertical="center" indent="1"/>
    </xf>
    <xf numFmtId="4" fontId="53" fillId="64" borderId="107" applyNumberFormat="0" applyProtection="0">
      <alignment horizontal="left" vertical="center" indent="1"/>
    </xf>
    <xf numFmtId="349" fontId="53" fillId="32" borderId="107" applyNumberFormat="0" applyProtection="0">
      <alignment horizontal="left" vertical="center"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4" fontId="53" fillId="27" borderId="107" applyNumberFormat="0" applyProtection="0">
      <alignment horizontal="right" vertical="center"/>
    </xf>
    <xf numFmtId="4" fontId="53" fillId="30" borderId="113" applyNumberFormat="0" applyProtection="0">
      <alignment horizontal="left" vertical="center" indent="1"/>
    </xf>
    <xf numFmtId="4" fontId="53" fillId="64" borderId="107" applyNumberFormat="0" applyProtection="0">
      <alignment horizontal="left" vertical="center" indent="1"/>
    </xf>
    <xf numFmtId="4" fontId="53" fillId="27" borderId="107" applyNumberFormat="0" applyProtection="0">
      <alignment horizontal="right" vertical="center"/>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4" fontId="253" fillId="45" borderId="107" applyNumberFormat="0" applyProtection="0">
      <alignment vertical="center"/>
    </xf>
    <xf numFmtId="4" fontId="53" fillId="25" borderId="107" applyNumberFormat="0" applyProtection="0">
      <alignment horizontal="right" vertical="center"/>
    </xf>
    <xf numFmtId="4" fontId="53" fillId="19" borderId="113"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164" fontId="12" fillId="0" borderId="0" applyFont="0" applyFill="0" applyBorder="0" applyAlignment="0" applyProtection="0"/>
    <xf numFmtId="4" fontId="53" fillId="23" borderId="107" applyNumberFormat="0" applyProtection="0">
      <alignment horizontal="right" vertical="center"/>
    </xf>
    <xf numFmtId="164" fontId="12" fillId="0" borderId="0" applyFont="0" applyFill="0" applyBorder="0" applyAlignment="0" applyProtection="0"/>
    <xf numFmtId="349" fontId="53" fillId="13" borderId="107" applyNumberFormat="0" applyFont="0" applyAlignment="0" applyProtection="0"/>
    <xf numFmtId="4" fontId="53" fillId="18" borderId="107" applyNumberFormat="0" applyProtection="0">
      <alignment vertical="center"/>
    </xf>
    <xf numFmtId="4" fontId="253" fillId="45" borderId="107" applyNumberFormat="0" applyProtection="0">
      <alignment vertical="center"/>
    </xf>
    <xf numFmtId="4" fontId="53" fillId="25" borderId="107" applyNumberFormat="0" applyProtection="0">
      <alignment horizontal="right" vertical="center"/>
    </xf>
    <xf numFmtId="4" fontId="53" fillId="29" borderId="113" applyNumberFormat="0" applyProtection="0">
      <alignment horizontal="left" vertical="center" indent="1"/>
    </xf>
    <xf numFmtId="4" fontId="53" fillId="130" borderId="107" applyNumberFormat="0" applyProtection="0">
      <alignment horizontal="right" vertical="center"/>
    </xf>
    <xf numFmtId="4" fontId="53" fillId="19" borderId="107" applyNumberFormat="0" applyProtection="0">
      <alignment horizontal="right" vertical="center"/>
    </xf>
    <xf numFmtId="349" fontId="53" fillId="61" borderId="107" applyNumberFormat="0" applyProtection="0">
      <alignment horizontal="left" vertical="center" indent="1"/>
    </xf>
    <xf numFmtId="210" fontId="64" fillId="0" borderId="28" applyFill="0"/>
    <xf numFmtId="349" fontId="53" fillId="32" borderId="112" applyNumberFormat="0" applyProtection="0">
      <alignment horizontal="left" vertical="top" indent="1"/>
    </xf>
    <xf numFmtId="4" fontId="53" fillId="19"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349" fontId="184" fillId="127" borderId="111" applyNumberFormat="0" applyAlignment="0" applyProtection="0"/>
    <xf numFmtId="349" fontId="53" fillId="61" borderId="107"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4" fontId="53" fillId="27" borderId="107" applyNumberFormat="0" applyProtection="0">
      <alignment horizontal="right" vertical="center"/>
    </xf>
    <xf numFmtId="349" fontId="254" fillId="18" borderId="112" applyNumberFormat="0" applyProtection="0">
      <alignment horizontal="left" vertical="top" indent="1"/>
    </xf>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130" borderId="107" applyNumberFormat="0" applyProtection="0">
      <alignment horizontal="right" vertical="center"/>
    </xf>
    <xf numFmtId="4" fontId="53" fillId="45" borderId="107" applyNumberFormat="0" applyProtection="0">
      <alignment horizontal="left" vertical="center" indent="1"/>
    </xf>
    <xf numFmtId="4" fontId="9" fillId="31" borderId="113" applyNumberFormat="0" applyProtection="0">
      <alignment horizontal="left" vertical="center" indent="1"/>
    </xf>
    <xf numFmtId="4" fontId="53" fillId="25" borderId="107" applyNumberFormat="0" applyProtection="0">
      <alignment horizontal="right" vertical="center"/>
    </xf>
    <xf numFmtId="4" fontId="53" fillId="23" borderId="107" applyNumberFormat="0" applyProtection="0">
      <alignment horizontal="right" vertical="center"/>
    </xf>
    <xf numFmtId="349" fontId="53" fillId="31" borderId="112" applyNumberFormat="0" applyProtection="0">
      <alignment horizontal="left" vertical="top" indent="1"/>
    </xf>
    <xf numFmtId="349" fontId="251" fillId="127" borderId="107" applyNumberFormat="0" applyAlignment="0" applyProtection="0"/>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4" fontId="53" fillId="0" borderId="107" applyNumberFormat="0" applyProtection="0">
      <alignment horizontal="right" vertical="center"/>
    </xf>
    <xf numFmtId="349" fontId="15" fillId="0" borderId="116" applyNumberFormat="0" applyFill="0" applyAlignment="0" applyProtection="0"/>
    <xf numFmtId="349" fontId="93" fillId="31" borderId="114" applyBorder="0"/>
    <xf numFmtId="349" fontId="53" fillId="30" borderId="112" applyNumberFormat="0" applyProtection="0">
      <alignment horizontal="left" vertical="top" indent="1"/>
    </xf>
    <xf numFmtId="349" fontId="53" fillId="30" borderId="112" applyNumberFormat="0" applyProtection="0">
      <alignment horizontal="left" vertical="top" indent="1"/>
    </xf>
    <xf numFmtId="210" fontId="64" fillId="0" borderId="28" applyFill="0"/>
    <xf numFmtId="349" fontId="53" fillId="30" borderId="112" applyNumberFormat="0" applyProtection="0">
      <alignment horizontal="left" vertical="top" indent="1"/>
    </xf>
    <xf numFmtId="4" fontId="53" fillId="27" borderId="107" applyNumberFormat="0" applyProtection="0">
      <alignment horizontal="right" vertical="center"/>
    </xf>
    <xf numFmtId="4" fontId="53" fillId="19" borderId="113" applyNumberFormat="0" applyProtection="0">
      <alignment horizontal="left" vertical="center" indent="1"/>
    </xf>
    <xf numFmtId="349" fontId="53" fillId="31" borderId="112" applyNumberFormat="0" applyProtection="0">
      <alignment horizontal="left" vertical="top"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4" fontId="256" fillId="35" borderId="113" applyNumberFormat="0" applyProtection="0">
      <alignment horizontal="left" vertical="center" indent="1"/>
    </xf>
    <xf numFmtId="349" fontId="142" fillId="14" borderId="107" applyNumberFormat="0" applyAlignment="0" applyProtection="0"/>
    <xf numFmtId="349" fontId="9" fillId="32" borderId="112" applyNumberFormat="0" applyProtection="0">
      <alignment horizontal="left" vertical="top" indent="1"/>
    </xf>
    <xf numFmtId="349" fontId="142" fillId="14" borderId="107" applyNumberFormat="0" applyAlignment="0" applyProtection="0"/>
    <xf numFmtId="349" fontId="9" fillId="19" borderId="112" applyNumberFormat="0" applyProtection="0">
      <alignment horizontal="left" vertical="center" indent="1"/>
    </xf>
    <xf numFmtId="349" fontId="53" fillId="31" borderId="112" applyNumberFormat="0" applyProtection="0">
      <alignment horizontal="left" vertical="top" indent="1"/>
    </xf>
    <xf numFmtId="4" fontId="53" fillId="19" borderId="113" applyNumberFormat="0" applyProtection="0">
      <alignment horizontal="left" vertical="center" indent="1"/>
    </xf>
    <xf numFmtId="4" fontId="53" fillId="27" borderId="107" applyNumberFormat="0" applyProtection="0">
      <alignment horizontal="right" vertical="center"/>
    </xf>
    <xf numFmtId="4" fontId="53" fillId="20"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2" borderId="107" applyNumberFormat="0" applyProtection="0">
      <alignment horizontal="left" vertical="center" indent="1"/>
    </xf>
    <xf numFmtId="4" fontId="53" fillId="130" borderId="107" applyNumberFormat="0" applyProtection="0">
      <alignment horizontal="right" vertical="center"/>
    </xf>
    <xf numFmtId="349" fontId="53" fillId="30" borderId="112" applyNumberFormat="0" applyProtection="0">
      <alignment horizontal="left" vertical="top" indent="1"/>
    </xf>
    <xf numFmtId="4" fontId="53" fillId="30" borderId="113" applyNumberFormat="0" applyProtection="0">
      <alignment horizontal="left" vertical="center"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255" fillId="19" borderId="112" applyNumberFormat="0" applyProtection="0">
      <alignment horizontal="left" vertical="top" indent="1"/>
    </xf>
    <xf numFmtId="4" fontId="53" fillId="0" borderId="107" applyNumberFormat="0" applyProtection="0">
      <alignment horizontal="right" vertical="center"/>
    </xf>
    <xf numFmtId="349" fontId="9" fillId="32" borderId="112" applyNumberFormat="0" applyProtection="0">
      <alignment horizontal="left" vertical="top" indent="1"/>
    </xf>
    <xf numFmtId="37" fontId="64" fillId="0" borderId="115" applyNumberFormat="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53" fillId="19" borderId="113" applyNumberFormat="0" applyProtection="0">
      <alignment horizontal="left" vertical="center" indent="1"/>
    </xf>
    <xf numFmtId="4" fontId="53" fillId="22" borderId="113" applyNumberFormat="0" applyProtection="0">
      <alignment horizontal="right" vertical="center"/>
    </xf>
    <xf numFmtId="349" fontId="251" fillId="127" borderId="107" applyNumberFormat="0" applyAlignment="0" applyProtection="0"/>
    <xf numFmtId="349" fontId="53" fillId="32"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349" fontId="53" fillId="19" borderId="112" applyNumberFormat="0" applyProtection="0">
      <alignment horizontal="left" vertical="top" indent="1"/>
    </xf>
    <xf numFmtId="349" fontId="9" fillId="31" borderId="112" applyNumberFormat="0" applyProtection="0">
      <alignment horizontal="left" vertical="center"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4" fontId="53" fillId="0" borderId="107" applyNumberFormat="0" applyProtection="0">
      <alignment horizontal="right" vertical="center"/>
    </xf>
    <xf numFmtId="349" fontId="53" fillId="13" borderId="107" applyNumberFormat="0" applyFont="0" applyAlignment="0" applyProtection="0"/>
    <xf numFmtId="4" fontId="53" fillId="23" borderId="107" applyNumberFormat="0" applyProtection="0">
      <alignment horizontal="right" vertical="center"/>
    </xf>
    <xf numFmtId="4" fontId="53" fillId="23" borderId="107" applyNumberFormat="0" applyProtection="0">
      <alignment horizontal="right" vertical="center"/>
    </xf>
    <xf numFmtId="4" fontId="53" fillId="28" borderId="107" applyNumberFormat="0" applyProtection="0">
      <alignment horizontal="right" vertical="center"/>
    </xf>
    <xf numFmtId="349" fontId="53" fillId="61" borderId="107"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257" fillId="33" borderId="107" applyNumberFormat="0" applyProtection="0">
      <alignment horizontal="right" vertical="center"/>
    </xf>
    <xf numFmtId="4" fontId="53" fillId="64" borderId="107" applyNumberFormat="0" applyProtection="0">
      <alignment horizontal="left" vertical="center" indent="1"/>
    </xf>
    <xf numFmtId="349" fontId="53" fillId="30" borderId="112" applyNumberFormat="0" applyProtection="0">
      <alignment horizontal="left" vertical="top" indent="1"/>
    </xf>
    <xf numFmtId="4" fontId="256" fillId="35" borderId="113" applyNumberFormat="0" applyProtection="0">
      <alignment horizontal="left" vertical="center"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53" fillId="19" borderId="107" applyNumberFormat="0" applyProtection="0">
      <alignment horizontal="right" vertical="center"/>
    </xf>
    <xf numFmtId="4" fontId="53" fillId="20" borderId="107" applyNumberFormat="0" applyProtection="0">
      <alignment horizontal="right" vertical="center"/>
    </xf>
    <xf numFmtId="349" fontId="53" fillId="30" borderId="112" applyNumberFormat="0" applyProtection="0">
      <alignment horizontal="left" vertical="top" indent="1"/>
    </xf>
    <xf numFmtId="349" fontId="53" fillId="31"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4" fontId="53" fillId="64" borderId="107" applyNumberFormat="0" applyProtection="0">
      <alignment horizontal="left" vertical="center" indent="1"/>
    </xf>
    <xf numFmtId="349" fontId="53" fillId="30" borderId="112" applyNumberFormat="0" applyProtection="0">
      <alignment horizontal="left" vertical="top" indent="1"/>
    </xf>
    <xf numFmtId="349" fontId="53" fillId="19" borderId="112" applyNumberFormat="0" applyProtection="0">
      <alignment horizontal="left" vertical="top" indent="1"/>
    </xf>
    <xf numFmtId="4" fontId="9" fillId="31" borderId="113" applyNumberFormat="0" applyProtection="0">
      <alignment horizontal="left" vertical="center" indent="1"/>
    </xf>
    <xf numFmtId="349" fontId="184" fillId="127" borderId="111" applyNumberFormat="0" applyAlignment="0" applyProtection="0"/>
    <xf numFmtId="164" fontId="12" fillId="0" borderId="0" applyFont="0" applyFill="0" applyBorder="0" applyAlignment="0" applyProtection="0"/>
    <xf numFmtId="349" fontId="254" fillId="18" borderId="112" applyNumberFormat="0" applyProtection="0">
      <alignment horizontal="left" vertical="top" indent="1"/>
    </xf>
    <xf numFmtId="4" fontId="53" fillId="27" borderId="107" applyNumberFormat="0" applyProtection="0">
      <alignment horizontal="right" vertical="center"/>
    </xf>
    <xf numFmtId="4" fontId="53" fillId="19" borderId="113" applyNumberFormat="0" applyProtection="0">
      <alignment horizontal="left" vertical="center" indent="1"/>
    </xf>
    <xf numFmtId="349" fontId="9" fillId="31" borderId="112" applyNumberFormat="0" applyProtection="0">
      <alignment horizontal="left" vertical="top" indent="1"/>
    </xf>
    <xf numFmtId="349" fontId="53" fillId="32" borderId="112" applyNumberFormat="0" applyProtection="0">
      <alignment horizontal="left" vertical="top" indent="1"/>
    </xf>
    <xf numFmtId="349" fontId="53" fillId="32" borderId="107" applyNumberFormat="0" applyProtection="0">
      <alignment horizontal="left" vertical="center" indent="1"/>
    </xf>
    <xf numFmtId="349" fontId="9" fillId="19" borderId="112" applyNumberFormat="0" applyProtection="0">
      <alignment horizontal="left" vertical="center"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130" borderId="107" applyNumberFormat="0" applyProtection="0">
      <alignment horizontal="right" vertical="center"/>
    </xf>
    <xf numFmtId="349" fontId="53" fillId="13" borderId="107" applyNumberFormat="0" applyFont="0" applyAlignment="0" applyProtection="0"/>
    <xf numFmtId="349" fontId="251" fillId="127" borderId="107" applyNumberFormat="0" applyAlignment="0" applyProtection="0"/>
    <xf numFmtId="349" fontId="142" fillId="14"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4" fontId="253" fillId="45" borderId="107" applyNumberFormat="0" applyProtection="0">
      <alignment vertical="center"/>
    </xf>
    <xf numFmtId="4" fontId="53" fillId="19" borderId="107" applyNumberFormat="0" applyProtection="0">
      <alignment horizontal="right" vertical="center"/>
    </xf>
    <xf numFmtId="4" fontId="53" fillId="130" borderId="107" applyNumberFormat="0" applyProtection="0">
      <alignment horizontal="right" vertical="center"/>
    </xf>
    <xf numFmtId="349" fontId="53" fillId="31" borderId="112" applyNumberFormat="0" applyProtection="0">
      <alignment horizontal="left" vertical="top" indent="1"/>
    </xf>
    <xf numFmtId="4" fontId="53" fillId="29" borderId="113" applyNumberFormat="0" applyProtection="0">
      <alignment horizontal="left" vertical="center" indent="1"/>
    </xf>
    <xf numFmtId="4" fontId="53" fillId="26" borderId="107" applyNumberFormat="0" applyProtection="0">
      <alignment horizontal="right" vertical="center"/>
    </xf>
    <xf numFmtId="349" fontId="53" fillId="31"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53" fillId="30" borderId="112" applyNumberFormat="0" applyProtection="0">
      <alignment horizontal="left" vertical="top" indent="1"/>
    </xf>
    <xf numFmtId="4" fontId="255" fillId="34" borderId="112" applyNumberFormat="0" applyProtection="0">
      <alignment vertical="center"/>
    </xf>
    <xf numFmtId="4" fontId="256" fillId="35" borderId="113" applyNumberFormat="0" applyProtection="0">
      <alignment horizontal="left" vertical="center" indent="1"/>
    </xf>
    <xf numFmtId="349" fontId="53" fillId="19" borderId="112" applyNumberFormat="0" applyProtection="0">
      <alignment horizontal="left" vertical="top" indent="1"/>
    </xf>
    <xf numFmtId="4" fontId="53" fillId="64" borderId="107" applyNumberFormat="0" applyProtection="0">
      <alignment horizontal="left" vertical="center" indent="1"/>
    </xf>
    <xf numFmtId="349" fontId="53" fillId="30" borderId="112" applyNumberFormat="0" applyProtection="0">
      <alignment horizontal="left" vertical="top" indent="1"/>
    </xf>
    <xf numFmtId="4" fontId="53" fillId="0" borderId="107" applyNumberFormat="0" applyProtection="0">
      <alignment horizontal="right" vertical="center"/>
    </xf>
    <xf numFmtId="349" fontId="251" fillId="127" borderId="107" applyNumberFormat="0" applyAlignment="0" applyProtection="0"/>
    <xf numFmtId="349" fontId="53" fillId="13" borderId="107" applyNumberFormat="0" applyFont="0" applyAlignment="0" applyProtection="0"/>
    <xf numFmtId="4" fontId="9" fillId="31" borderId="113" applyNumberFormat="0" applyProtection="0">
      <alignment horizontal="left" vertical="center"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15" fillId="0" borderId="116" applyNumberFormat="0" applyFill="0" applyAlignment="0" applyProtection="0"/>
    <xf numFmtId="349" fontId="53" fillId="13" borderId="107" applyNumberFormat="0" applyFon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23" borderId="107" applyNumberFormat="0" applyProtection="0">
      <alignment horizontal="right" vertical="center"/>
    </xf>
    <xf numFmtId="4" fontId="253" fillId="45" borderId="107" applyNumberFormat="0" applyProtection="0">
      <alignment vertical="center"/>
    </xf>
    <xf numFmtId="349" fontId="53" fillId="13" borderId="107" applyNumberFormat="0" applyFont="0" applyAlignment="0" applyProtection="0"/>
    <xf numFmtId="349" fontId="251" fillId="127" borderId="107" applyNumberFormat="0" applyAlignment="0" applyProtection="0"/>
    <xf numFmtId="4" fontId="53" fillId="130" borderId="107" applyNumberFormat="0" applyProtection="0">
      <alignment horizontal="right" vertical="center"/>
    </xf>
    <xf numFmtId="349" fontId="53" fillId="13" borderId="107" applyNumberFormat="0" applyFont="0" applyAlignment="0" applyProtection="0"/>
    <xf numFmtId="349" fontId="255" fillId="34" borderId="112" applyNumberFormat="0" applyProtection="0">
      <alignment horizontal="left" vertical="top" indent="1"/>
    </xf>
    <xf numFmtId="4" fontId="53" fillId="25" borderId="107" applyNumberFormat="0" applyProtection="0">
      <alignment horizontal="right" vertical="center"/>
    </xf>
    <xf numFmtId="4" fontId="9" fillId="31" borderId="113"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15" fillId="0" borderId="116" applyNumberFormat="0" applyFill="0" applyAlignment="0" applyProtection="0"/>
    <xf numFmtId="349" fontId="53" fillId="32" borderId="112" applyNumberFormat="0" applyProtection="0">
      <alignment horizontal="left" vertical="top" indent="1"/>
    </xf>
    <xf numFmtId="349" fontId="251" fillId="127" borderId="107" applyNumberFormat="0" applyAlignment="0" applyProtection="0"/>
    <xf numFmtId="4" fontId="53" fillId="0" borderId="107" applyNumberFormat="0" applyProtection="0">
      <alignment horizontal="right" vertical="center"/>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83" borderId="107" applyNumberFormat="0" applyProtection="0">
      <alignment horizontal="left" vertical="center" indent="1"/>
    </xf>
    <xf numFmtId="349" fontId="9" fillId="31" borderId="112" applyNumberFormat="0" applyProtection="0">
      <alignment horizontal="left" vertical="top" indent="1"/>
    </xf>
    <xf numFmtId="4" fontId="53" fillId="28" borderId="107" applyNumberFormat="0" applyProtection="0">
      <alignment horizontal="right" vertical="center"/>
    </xf>
    <xf numFmtId="349" fontId="254" fillId="18" borderId="112" applyNumberFormat="0" applyProtection="0">
      <alignment horizontal="left" vertical="top" indent="1"/>
    </xf>
    <xf numFmtId="349" fontId="93" fillId="31" borderId="114" applyBorder="0"/>
    <xf numFmtId="349" fontId="53" fillId="32" borderId="107" applyNumberFormat="0" applyProtection="0">
      <alignment horizontal="left" vertical="center" indent="1"/>
    </xf>
    <xf numFmtId="349" fontId="142" fillId="14" borderId="107" applyNumberFormat="0" applyAlignment="0" applyProtection="0"/>
    <xf numFmtId="4" fontId="255" fillId="61" borderId="112" applyNumberFormat="0" applyProtection="0">
      <alignment horizontal="left" vertical="center" indent="1"/>
    </xf>
    <xf numFmtId="349" fontId="53" fillId="13" borderId="107" applyNumberFormat="0" applyFont="0" applyAlignment="0" applyProtection="0"/>
    <xf numFmtId="349" fontId="251" fillId="127" borderId="107" applyNumberFormat="0" applyAlignment="0" applyProtection="0"/>
    <xf numFmtId="4" fontId="53" fillId="45" borderId="107" applyNumberFormat="0" applyProtection="0">
      <alignment horizontal="left" vertical="center" indent="1"/>
    </xf>
    <xf numFmtId="4" fontId="53" fillId="24" borderId="107" applyNumberFormat="0" applyProtection="0">
      <alignment horizontal="right" vertical="center"/>
    </xf>
    <xf numFmtId="4" fontId="9" fillId="31" borderId="113" applyNumberFormat="0" applyProtection="0">
      <alignment horizontal="left" vertical="center"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15" fillId="0" borderId="116" applyNumberFormat="0" applyFill="0" applyAlignment="0" applyProtection="0"/>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64" borderId="107" applyNumberFormat="0" applyProtection="0">
      <alignment horizontal="left" vertical="center" indent="1"/>
    </xf>
    <xf numFmtId="349" fontId="255" fillId="34" borderId="112" applyNumberFormat="0" applyProtection="0">
      <alignment horizontal="left" vertical="top" indent="1"/>
    </xf>
    <xf numFmtId="349" fontId="53" fillId="30" borderId="112" applyNumberFormat="0" applyProtection="0">
      <alignment horizontal="left" vertical="top" indent="1"/>
    </xf>
    <xf numFmtId="349" fontId="255" fillId="34" borderId="112" applyNumberFormat="0" applyProtection="0">
      <alignment horizontal="left" vertical="top" indent="1"/>
    </xf>
    <xf numFmtId="349" fontId="53" fillId="32" borderId="112" applyNumberFormat="0" applyProtection="0">
      <alignment horizontal="left" vertical="top" indent="1"/>
    </xf>
    <xf numFmtId="349" fontId="255" fillId="19" borderId="112" applyNumberFormat="0" applyProtection="0">
      <alignment horizontal="left" vertical="top" indent="1"/>
    </xf>
    <xf numFmtId="349" fontId="93" fillId="31" borderId="114" applyBorder="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210" fontId="64" fillId="0" borderId="28" applyFill="0"/>
    <xf numFmtId="4" fontId="53" fillId="28" borderId="107" applyNumberFormat="0" applyProtection="0">
      <alignment horizontal="right" vertical="center"/>
    </xf>
    <xf numFmtId="4" fontId="53" fillId="19" borderId="113" applyNumberFormat="0" applyProtection="0">
      <alignment horizontal="left" vertical="center" indent="1"/>
    </xf>
    <xf numFmtId="4" fontId="53" fillId="20" borderId="107" applyNumberFormat="0" applyProtection="0">
      <alignment horizontal="right" vertical="center"/>
    </xf>
    <xf numFmtId="4" fontId="53" fillId="28"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4" fontId="53" fillId="18" borderId="107" applyNumberFormat="0" applyProtection="0">
      <alignment vertical="center"/>
    </xf>
    <xf numFmtId="4" fontId="53" fillId="24" borderId="107" applyNumberFormat="0" applyProtection="0">
      <alignment horizontal="right" vertical="center"/>
    </xf>
    <xf numFmtId="4" fontId="53" fillId="30" borderId="113"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53" fillId="31" borderId="112" applyNumberFormat="0" applyProtection="0">
      <alignment horizontal="left" vertical="top" indent="1"/>
    </xf>
    <xf numFmtId="4" fontId="53" fillId="24" borderId="107" applyNumberFormat="0" applyProtection="0">
      <alignment horizontal="right" vertical="center"/>
    </xf>
    <xf numFmtId="4" fontId="53" fillId="18" borderId="107" applyNumberFormat="0" applyProtection="0">
      <alignment vertical="center"/>
    </xf>
    <xf numFmtId="4" fontId="53" fillId="64" borderId="107" applyNumberFormat="0" applyProtection="0">
      <alignment horizontal="left" vertical="center" indent="1"/>
    </xf>
    <xf numFmtId="4" fontId="53" fillId="45" borderId="107" applyNumberFormat="0" applyProtection="0">
      <alignment horizontal="left" vertical="center" indent="1"/>
    </xf>
    <xf numFmtId="4" fontId="53" fillId="26" borderId="107" applyNumberFormat="0" applyProtection="0">
      <alignment horizontal="right" vertical="center"/>
    </xf>
    <xf numFmtId="4" fontId="9" fillId="31" borderId="113" applyNumberFormat="0" applyProtection="0">
      <alignment horizontal="left" vertical="center" indent="1"/>
    </xf>
    <xf numFmtId="4" fontId="53" fillId="22" borderId="113" applyNumberFormat="0" applyProtection="0">
      <alignment horizontal="right" vertical="center"/>
    </xf>
    <xf numFmtId="4" fontId="53" fillId="30" borderId="113" applyNumberFormat="0" applyProtection="0">
      <alignment horizontal="left" vertical="center" indent="1"/>
    </xf>
    <xf numFmtId="349" fontId="9" fillId="31" borderId="112" applyNumberFormat="0" applyProtection="0">
      <alignment horizontal="left" vertical="center" indent="1"/>
    </xf>
    <xf numFmtId="349" fontId="53" fillId="32" borderId="112" applyNumberFormat="0" applyProtection="0">
      <alignment horizontal="left" vertical="top" indent="1"/>
    </xf>
    <xf numFmtId="4" fontId="9" fillId="31" borderId="113" applyNumberFormat="0" applyProtection="0">
      <alignment horizontal="left" vertical="center" indent="1"/>
    </xf>
    <xf numFmtId="349" fontId="184" fillId="127" borderId="111" applyNumberFormat="0" applyAlignment="0" applyProtection="0"/>
    <xf numFmtId="349" fontId="53" fillId="13" borderId="107" applyNumberFormat="0" applyFont="0" applyAlignment="0" applyProtection="0"/>
    <xf numFmtId="4" fontId="53" fillId="18" borderId="107" applyNumberFormat="0" applyProtection="0">
      <alignment vertical="center"/>
    </xf>
    <xf numFmtId="349" fontId="9" fillId="31" borderId="112" applyNumberFormat="0" applyProtection="0">
      <alignment horizontal="left" vertical="center" indent="1"/>
    </xf>
    <xf numFmtId="349" fontId="53" fillId="30" borderId="112" applyNumberFormat="0" applyProtection="0">
      <alignment horizontal="left" vertical="top" indent="1"/>
    </xf>
    <xf numFmtId="349" fontId="9"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53" fillId="61" borderId="107" applyNumberFormat="0" applyProtection="0">
      <alignment horizontal="left" vertical="center" indent="1"/>
    </xf>
    <xf numFmtId="4" fontId="53" fillId="26" borderId="107" applyNumberFormat="0" applyProtection="0">
      <alignment horizontal="right" vertical="center"/>
    </xf>
    <xf numFmtId="4" fontId="53" fillId="45" borderId="107" applyNumberFormat="0" applyProtection="0">
      <alignment horizontal="left" vertical="center" indent="1"/>
    </xf>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25" borderId="107" applyNumberFormat="0" applyProtection="0">
      <alignment horizontal="right" vertical="center"/>
    </xf>
    <xf numFmtId="349" fontId="254" fillId="18" borderId="112" applyNumberFormat="0" applyProtection="0">
      <alignment horizontal="left" vertical="top" indent="1"/>
    </xf>
    <xf numFmtId="4" fontId="53" fillId="19" borderId="107" applyNumberFormat="0" applyProtection="0">
      <alignment horizontal="right" vertical="center"/>
    </xf>
    <xf numFmtId="4" fontId="53" fillId="26" borderId="107" applyNumberFormat="0" applyProtection="0">
      <alignment horizontal="right" vertical="center"/>
    </xf>
    <xf numFmtId="4" fontId="53" fillId="24" borderId="107" applyNumberFormat="0" applyProtection="0">
      <alignment horizontal="right" vertical="center"/>
    </xf>
    <xf numFmtId="349" fontId="53" fillId="31" borderId="112" applyNumberFormat="0" applyProtection="0">
      <alignment horizontal="left" vertical="top" indent="1"/>
    </xf>
    <xf numFmtId="349" fontId="251" fillId="127" borderId="107" applyNumberFormat="0" applyAlignment="0" applyProtection="0"/>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253" fillId="50" borderId="107" applyNumberFormat="0" applyProtection="0">
      <alignment horizontal="right" vertical="center"/>
    </xf>
    <xf numFmtId="349" fontId="15" fillId="0" borderId="116" applyNumberFormat="0" applyFill="0" applyAlignment="0" applyProtection="0"/>
    <xf numFmtId="4" fontId="255" fillId="34" borderId="112" applyNumberFormat="0" applyProtection="0">
      <alignment vertical="center"/>
    </xf>
    <xf numFmtId="349" fontId="53" fillId="30" borderId="112" applyNumberFormat="0" applyProtection="0">
      <alignment horizontal="left" vertical="top" indent="1"/>
    </xf>
    <xf numFmtId="349" fontId="93" fillId="31" borderId="114" applyBorder="0"/>
    <xf numFmtId="4" fontId="53" fillId="0" borderId="107" applyNumberFormat="0" applyProtection="0">
      <alignment horizontal="right" vertical="center"/>
    </xf>
    <xf numFmtId="349" fontId="53" fillId="30" borderId="112" applyNumberFormat="0" applyProtection="0">
      <alignment horizontal="left" vertical="top" indent="1"/>
    </xf>
    <xf numFmtId="4" fontId="53" fillId="28" borderId="107" applyNumberFormat="0" applyProtection="0">
      <alignment horizontal="right" vertical="center"/>
    </xf>
    <xf numFmtId="349" fontId="53" fillId="61" borderId="107"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257" fillId="33" borderId="107" applyNumberFormat="0" applyProtection="0">
      <alignment horizontal="right" vertical="center"/>
    </xf>
    <xf numFmtId="349" fontId="142" fillId="14" borderId="107" applyNumberFormat="0" applyAlignment="0" applyProtection="0"/>
    <xf numFmtId="349" fontId="53" fillId="32" borderId="112" applyNumberFormat="0" applyProtection="0">
      <alignment horizontal="left" vertical="top" indent="1"/>
    </xf>
    <xf numFmtId="349" fontId="142" fillId="14" borderId="107" applyNumberFormat="0" applyAlignment="0" applyProtection="0"/>
    <xf numFmtId="349" fontId="53" fillId="83" borderId="107" applyNumberFormat="0" applyProtection="0">
      <alignment horizontal="left" vertical="center" indent="1"/>
    </xf>
    <xf numFmtId="349" fontId="53" fillId="31" borderId="112" applyNumberFormat="0" applyProtection="0">
      <alignment horizontal="left" vertical="top" indent="1"/>
    </xf>
    <xf numFmtId="4" fontId="53" fillId="30" borderId="113" applyNumberFormat="0" applyProtection="0">
      <alignment horizontal="left" vertical="center" indent="1"/>
    </xf>
    <xf numFmtId="4" fontId="53" fillId="26" borderId="107" applyNumberFormat="0" applyProtection="0">
      <alignment horizontal="right" vertical="center"/>
    </xf>
    <xf numFmtId="4" fontId="53" fillId="64"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93" fillId="31" borderId="114" applyBorder="0"/>
    <xf numFmtId="4" fontId="53" fillId="22" borderId="113" applyNumberFormat="0" applyProtection="0">
      <alignment horizontal="right" vertical="center"/>
    </xf>
    <xf numFmtId="349" fontId="53" fillId="30" borderId="112" applyNumberFormat="0" applyProtection="0">
      <alignment horizontal="left" vertical="top" indent="1"/>
    </xf>
    <xf numFmtId="4" fontId="53" fillId="19" borderId="113" applyNumberFormat="0" applyProtection="0">
      <alignment horizontal="left" vertical="center" indent="1"/>
    </xf>
    <xf numFmtId="349" fontId="53" fillId="31" borderId="112" applyNumberFormat="0" applyProtection="0">
      <alignment horizontal="left" vertical="top"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4" fontId="256" fillId="35" borderId="113" applyNumberFormat="0" applyProtection="0">
      <alignment horizontal="left" vertical="center" indent="1"/>
    </xf>
    <xf numFmtId="4" fontId="253" fillId="50" borderId="107" applyNumberFormat="0" applyProtection="0">
      <alignment horizontal="right" vertical="center"/>
    </xf>
    <xf numFmtId="349" fontId="53" fillId="13" borderId="107" applyNumberFormat="0" applyFont="0" applyAlignment="0" applyProtection="0"/>
    <xf numFmtId="4" fontId="257" fillId="33" borderId="107" applyNumberFormat="0" applyProtection="0">
      <alignment horizontal="right" vertical="center"/>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53" fillId="30" borderId="113" applyNumberFormat="0" applyProtection="0">
      <alignment horizontal="left" vertical="center" indent="1"/>
    </xf>
    <xf numFmtId="4" fontId="53" fillId="130" borderId="107" applyNumberFormat="0" applyProtection="0">
      <alignment horizontal="right" vertical="center"/>
    </xf>
    <xf numFmtId="349" fontId="53" fillId="32"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349" fontId="53" fillId="32" borderId="107"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253" fillId="50" borderId="107" applyNumberFormat="0" applyProtection="0">
      <alignment horizontal="right" vertical="center"/>
    </xf>
    <xf numFmtId="349" fontId="53" fillId="13" borderId="107" applyNumberFormat="0" applyFont="0" applyAlignment="0" applyProtection="0"/>
    <xf numFmtId="4" fontId="53" fillId="22" borderId="113" applyNumberFormat="0" applyProtection="0">
      <alignment horizontal="right" vertical="center"/>
    </xf>
    <xf numFmtId="4" fontId="53" fillId="24" borderId="107" applyNumberFormat="0" applyProtection="0">
      <alignment horizontal="right" vertical="center"/>
    </xf>
    <xf numFmtId="4" fontId="53" fillId="29" borderId="113"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7" fontId="64" fillId="0" borderId="115" applyNumberFormat="0"/>
    <xf numFmtId="4" fontId="257" fillId="33" borderId="107" applyNumberFormat="0" applyProtection="0">
      <alignment horizontal="right" vertical="center"/>
    </xf>
    <xf numFmtId="349" fontId="53" fillId="19" borderId="112" applyNumberFormat="0" applyProtection="0">
      <alignment horizontal="left" vertical="top" indent="1"/>
    </xf>
    <xf numFmtId="349" fontId="255" fillId="19" borderId="112" applyNumberFormat="0" applyProtection="0">
      <alignment horizontal="left" vertical="top" indent="1"/>
    </xf>
    <xf numFmtId="349" fontId="53" fillId="30" borderId="112" applyNumberFormat="0" applyProtection="0">
      <alignment horizontal="left" vertical="top" indent="1"/>
    </xf>
    <xf numFmtId="349" fontId="9" fillId="32" borderId="112" applyNumberFormat="0" applyProtection="0">
      <alignment horizontal="left" vertical="center" indent="1"/>
    </xf>
    <xf numFmtId="349" fontId="9" fillId="19" borderId="112" applyNumberFormat="0" applyProtection="0">
      <alignment horizontal="left" vertical="center"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64" borderId="107" applyNumberFormat="0" applyProtection="0">
      <alignment horizontal="left" vertical="center" indent="1"/>
    </xf>
    <xf numFmtId="349" fontId="53" fillId="31" borderId="112" applyNumberFormat="0" applyProtection="0">
      <alignment horizontal="left" vertical="top" indent="1"/>
    </xf>
    <xf numFmtId="349" fontId="53" fillId="13" borderId="107" applyNumberFormat="0" applyFont="0" applyAlignment="0" applyProtection="0"/>
    <xf numFmtId="4" fontId="253" fillId="50" borderId="107" applyNumberFormat="0" applyProtection="0">
      <alignment horizontal="right" vertical="center"/>
    </xf>
    <xf numFmtId="349" fontId="9" fillId="30" borderId="112" applyNumberFormat="0" applyProtection="0">
      <alignment horizontal="left" vertical="top" indent="1"/>
    </xf>
    <xf numFmtId="349" fontId="53" fillId="19" borderId="112" applyNumberFormat="0" applyProtection="0">
      <alignment horizontal="left" vertical="top" indent="1"/>
    </xf>
    <xf numFmtId="4" fontId="53" fillId="29" borderId="113" applyNumberFormat="0" applyProtection="0">
      <alignment horizontal="left" vertical="center" indent="1"/>
    </xf>
    <xf numFmtId="4" fontId="53" fillId="22" borderId="113" applyNumberFormat="0" applyProtection="0">
      <alignment horizontal="right" vertical="center"/>
    </xf>
    <xf numFmtId="4" fontId="255" fillId="61" borderId="112" applyNumberFormat="0" applyProtection="0">
      <alignment horizontal="left" vertical="center" indent="1"/>
    </xf>
    <xf numFmtId="349" fontId="15" fillId="0" borderId="116" applyNumberFormat="0" applyFill="0" applyAlignment="0" applyProtection="0"/>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251" fillId="127" borderId="107" applyNumberFormat="0" applyAlignment="0" applyProtection="0"/>
    <xf numFmtId="349" fontId="53" fillId="13" borderId="107" applyNumberFormat="0" applyFont="0" applyAlignment="0" applyProtection="0"/>
    <xf numFmtId="4" fontId="253" fillId="45" borderId="107" applyNumberFormat="0" applyProtection="0">
      <alignment vertical="center"/>
    </xf>
    <xf numFmtId="4" fontId="53" fillId="27" borderId="107" applyNumberFormat="0" applyProtection="0">
      <alignment horizontal="right" vertical="center"/>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255" fillId="34" borderId="112" applyNumberFormat="0" applyProtection="0">
      <alignment horizontal="left" vertical="top" indent="1"/>
    </xf>
    <xf numFmtId="349" fontId="15" fillId="0" borderId="116" applyNumberFormat="0" applyFill="0" applyAlignment="0" applyProtection="0"/>
    <xf numFmtId="349" fontId="53" fillId="30" borderId="112" applyNumberFormat="0" applyProtection="0">
      <alignment horizontal="left" vertical="top"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4" fontId="9" fillId="31" borderId="113" applyNumberFormat="0" applyProtection="0">
      <alignment horizontal="left" vertical="center" indent="1"/>
    </xf>
    <xf numFmtId="4" fontId="53" fillId="26" borderId="107" applyNumberFormat="0" applyProtection="0">
      <alignment horizontal="right" vertical="center"/>
    </xf>
    <xf numFmtId="349" fontId="53" fillId="13" borderId="107" applyNumberFormat="0" applyFont="0" applyAlignment="0" applyProtection="0"/>
    <xf numFmtId="4" fontId="53" fillId="18" borderId="107" applyNumberFormat="0" applyProtection="0">
      <alignment vertical="center"/>
    </xf>
    <xf numFmtId="4" fontId="53" fillId="29" borderId="113" applyNumberFormat="0" applyProtection="0">
      <alignment horizontal="left" vertical="center" indent="1"/>
    </xf>
    <xf numFmtId="349" fontId="9" fillId="31" borderId="112" applyNumberFormat="0" applyProtection="0">
      <alignment horizontal="left" vertical="center" indent="1"/>
    </xf>
    <xf numFmtId="349" fontId="9" fillId="19" borderId="112" applyNumberFormat="0" applyProtection="0">
      <alignment horizontal="left" vertical="top" indent="1"/>
    </xf>
    <xf numFmtId="349" fontId="53" fillId="13" borderId="107" applyNumberFormat="0" applyFont="0" applyAlignment="0" applyProtection="0"/>
    <xf numFmtId="210" fontId="64" fillId="0" borderId="28" applyFill="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4" fontId="53" fillId="19" borderId="107" applyNumberFormat="0" applyProtection="0">
      <alignment horizontal="right" vertical="center"/>
    </xf>
    <xf numFmtId="4" fontId="53" fillId="45" borderId="107" applyNumberFormat="0" applyProtection="0">
      <alignment horizontal="left" vertical="center" indent="1"/>
    </xf>
    <xf numFmtId="4" fontId="253" fillId="50" borderId="107" applyNumberFormat="0" applyProtection="0">
      <alignment horizontal="right" vertical="center"/>
    </xf>
    <xf numFmtId="349" fontId="53" fillId="30" borderId="112" applyNumberFormat="0" applyProtection="0">
      <alignment horizontal="left" vertical="top" indent="1"/>
    </xf>
    <xf numFmtId="349" fontId="255" fillId="19" borderId="112" applyNumberFormat="0" applyProtection="0">
      <alignment horizontal="left" vertical="top" indent="1"/>
    </xf>
    <xf numFmtId="4" fontId="257" fillId="33" borderId="107" applyNumberFormat="0" applyProtection="0">
      <alignment horizontal="right" vertical="center"/>
    </xf>
    <xf numFmtId="4" fontId="255" fillId="61" borderId="112" applyNumberFormat="0" applyProtection="0">
      <alignment horizontal="left" vertical="center" indent="1"/>
    </xf>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0" borderId="112" applyNumberFormat="0" applyProtection="0">
      <alignment horizontal="left" vertical="top" indent="1"/>
    </xf>
    <xf numFmtId="4" fontId="9" fillId="31" borderId="113" applyNumberFormat="0" applyProtection="0">
      <alignment horizontal="left" vertical="center" indent="1"/>
    </xf>
    <xf numFmtId="349" fontId="9" fillId="31" borderId="112" applyNumberFormat="0" applyProtection="0">
      <alignment horizontal="left" vertical="top" indent="1"/>
    </xf>
    <xf numFmtId="4" fontId="53" fillId="22" borderId="113" applyNumberFormat="0" applyProtection="0">
      <alignment horizontal="right" vertical="center"/>
    </xf>
    <xf numFmtId="349" fontId="53" fillId="61" borderId="107" applyNumberFormat="0" applyProtection="0">
      <alignment horizontal="left" vertical="center" indent="1"/>
    </xf>
    <xf numFmtId="4" fontId="53" fillId="45"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251" fillId="127" borderId="107" applyNumberFormat="0" applyAlignment="0" applyProtection="0"/>
    <xf numFmtId="349" fontId="53" fillId="13" borderId="107" applyNumberFormat="0" applyFont="0" applyAlignment="0" applyProtection="0"/>
    <xf numFmtId="4" fontId="53" fillId="20" borderId="107" applyNumberFormat="0" applyProtection="0">
      <alignment horizontal="right" vertical="center"/>
    </xf>
    <xf numFmtId="4" fontId="53" fillId="29" borderId="113" applyNumberFormat="0" applyProtection="0">
      <alignment horizontal="left" vertical="center" indent="1"/>
    </xf>
    <xf numFmtId="349" fontId="9" fillId="31" borderId="112" applyNumberFormat="0" applyProtection="0">
      <alignment horizontal="left" vertical="top" indent="1"/>
    </xf>
    <xf numFmtId="349" fontId="53" fillId="83" borderId="107" applyNumberFormat="0" applyProtection="0">
      <alignment horizontal="left" vertical="center"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1" borderId="112" applyNumberFormat="0" applyProtection="0">
      <alignment horizontal="left" vertical="top" indent="1"/>
    </xf>
    <xf numFmtId="4" fontId="53" fillId="28" borderId="107" applyNumberFormat="0" applyProtection="0">
      <alignment horizontal="right" vertical="center"/>
    </xf>
    <xf numFmtId="4" fontId="53" fillId="27" borderId="107" applyNumberFormat="0" applyProtection="0">
      <alignment horizontal="right" vertical="center"/>
    </xf>
    <xf numFmtId="349" fontId="53" fillId="31" borderId="112" applyNumberFormat="0" applyProtection="0">
      <alignment horizontal="left" vertical="top" indent="1"/>
    </xf>
    <xf numFmtId="349" fontId="53" fillId="32" borderId="112" applyNumberFormat="0" applyProtection="0">
      <alignment horizontal="left" vertical="top" indent="1"/>
    </xf>
    <xf numFmtId="349" fontId="251" fillId="127" borderId="107" applyNumberFormat="0" applyAlignment="0" applyProtection="0"/>
    <xf numFmtId="349" fontId="53" fillId="19" borderId="112" applyNumberFormat="0" applyProtection="0">
      <alignment horizontal="left" vertical="top"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4" fontId="53" fillId="0" borderId="107" applyNumberFormat="0" applyProtection="0">
      <alignment horizontal="right" vertical="center"/>
    </xf>
    <xf numFmtId="349" fontId="53" fillId="13" borderId="107" applyNumberFormat="0" applyFont="0" applyAlignment="0" applyProtection="0"/>
    <xf numFmtId="349" fontId="142" fillId="14" borderId="107" applyNumberFormat="0" applyAlignment="0" applyProtection="0"/>
    <xf numFmtId="349" fontId="254" fillId="18" borderId="112" applyNumberFormat="0" applyProtection="0">
      <alignment horizontal="left" vertical="top" indent="1"/>
    </xf>
    <xf numFmtId="349" fontId="53" fillId="13" borderId="107" applyNumberFormat="0" applyFont="0" applyAlignment="0" applyProtection="0"/>
    <xf numFmtId="349" fontId="53" fillId="30" borderId="107" applyNumberFormat="0" applyProtection="0">
      <alignment horizontal="left" vertical="center" indent="1"/>
    </xf>
    <xf numFmtId="164" fontId="12" fillId="0" borderId="0" applyFont="0" applyFill="0" applyBorder="0" applyAlignment="0" applyProtection="0"/>
    <xf numFmtId="164" fontId="12" fillId="0" borderId="0" applyFont="0" applyFill="0" applyBorder="0" applyAlignment="0" applyProtection="0"/>
    <xf numFmtId="349" fontId="251" fillId="127" borderId="107" applyNumberFormat="0" applyAlignment="0" applyProtection="0"/>
    <xf numFmtId="4" fontId="253" fillId="50" borderId="107" applyNumberFormat="0" applyProtection="0">
      <alignment horizontal="right" vertical="center"/>
    </xf>
    <xf numFmtId="349" fontId="142" fillId="14" borderId="107" applyNumberFormat="0" applyAlignment="0" applyProtection="0"/>
    <xf numFmtId="164" fontId="12" fillId="0" borderId="0" applyFont="0" applyFill="0" applyBorder="0" applyAlignment="0" applyProtection="0"/>
    <xf numFmtId="349" fontId="251" fillId="127" borderId="107" applyNumberFormat="0" applyAlignment="0" applyProtection="0"/>
    <xf numFmtId="4" fontId="53" fillId="45" borderId="107" applyNumberFormat="0" applyProtection="0">
      <alignment horizontal="left" vertical="center" indent="1"/>
    </xf>
    <xf numFmtId="349" fontId="142" fillId="14" borderId="107" applyNumberFormat="0" applyAlignment="0" applyProtection="0"/>
    <xf numFmtId="4" fontId="53" fillId="64" borderId="107" applyNumberFormat="0" applyProtection="0">
      <alignment horizontal="left" vertical="center" indent="1"/>
    </xf>
    <xf numFmtId="4" fontId="53" fillId="26" borderId="107" applyNumberFormat="0" applyProtection="0">
      <alignment horizontal="right" vertical="center"/>
    </xf>
    <xf numFmtId="164" fontId="12" fillId="0" borderId="0" applyFont="0" applyFill="0" applyBorder="0" applyAlignment="0" applyProtection="0"/>
    <xf numFmtId="4" fontId="257" fillId="33" borderId="107" applyNumberFormat="0" applyProtection="0">
      <alignment horizontal="right" vertical="center"/>
    </xf>
    <xf numFmtId="4" fontId="53" fillId="23" borderId="107" applyNumberFormat="0" applyProtection="0">
      <alignment horizontal="right" vertical="center"/>
    </xf>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167" fontId="7" fillId="43" borderId="6">
      <alignment vertical="center"/>
    </xf>
    <xf numFmtId="167" fontId="7" fillId="3" borderId="6">
      <alignment vertical="center"/>
      <protection locked="0"/>
    </xf>
    <xf numFmtId="0" fontId="1" fillId="0" borderId="0"/>
    <xf numFmtId="0" fontId="7" fillId="0" borderId="0"/>
    <xf numFmtId="0" fontId="12" fillId="0" borderId="0"/>
    <xf numFmtId="0" fontId="7" fillId="0" borderId="0"/>
    <xf numFmtId="9" fontId="1" fillId="0" borderId="0" applyFont="0" applyFill="0" applyBorder="0" applyAlignment="0" applyProtection="0"/>
    <xf numFmtId="180" fontId="7" fillId="0" borderId="0"/>
    <xf numFmtId="10" fontId="36" fillId="0" borderId="0" applyFont="0" applyFill="0" applyBorder="0" applyAlignment="0" applyProtection="0">
      <alignment vertical="center"/>
    </xf>
    <xf numFmtId="164" fontId="7" fillId="0" borderId="0" applyFont="0" applyFill="0" applyBorder="0" applyAlignment="0" applyProtection="0"/>
    <xf numFmtId="9" fontId="7" fillId="0" borderId="0" applyFont="0" applyFill="0" applyBorder="0" applyAlignment="0" applyProtection="0"/>
  </cellStyleXfs>
  <cellXfs count="821">
    <xf numFmtId="0" fontId="0" fillId="0" borderId="0" xfId="0"/>
    <xf numFmtId="0" fontId="8" fillId="0" borderId="0" xfId="0" applyFont="1"/>
    <xf numFmtId="0" fontId="10" fillId="42" borderId="0" xfId="7" applyFont="1" applyFill="1"/>
    <xf numFmtId="0" fontId="0" fillId="0" borderId="0" xfId="0" applyAlignment="1">
      <alignment horizontal="center" vertical="top" wrapText="1"/>
    </xf>
    <xf numFmtId="0" fontId="24" fillId="0" borderId="0" xfId="75" applyFont="1"/>
    <xf numFmtId="0" fontId="33" fillId="0" borderId="0" xfId="75" applyFont="1"/>
    <xf numFmtId="0" fontId="30" fillId="47" borderId="0" xfId="90" applyFont="1" applyFill="1" applyAlignment="1">
      <alignment horizontal="left"/>
    </xf>
    <xf numFmtId="0" fontId="24" fillId="0" borderId="0" xfId="93" applyFont="1"/>
    <xf numFmtId="0" fontId="31" fillId="0" borderId="0" xfId="75" applyFont="1"/>
    <xf numFmtId="0" fontId="32" fillId="0" borderId="0" xfId="75" applyFont="1"/>
    <xf numFmtId="0" fontId="0" fillId="0" borderId="0" xfId="0" applyAlignment="1">
      <alignment vertical="center"/>
    </xf>
    <xf numFmtId="0" fontId="0" fillId="0" borderId="0" xfId="0" applyAlignment="1">
      <alignment horizontal="center" wrapText="1"/>
    </xf>
    <xf numFmtId="0" fontId="26" fillId="0" borderId="0" xfId="0" applyFont="1" applyAlignment="1">
      <alignment horizontal="right" indent="1"/>
    </xf>
    <xf numFmtId="0" fontId="0" fillId="0" borderId="0" xfId="0" applyAlignment="1">
      <alignment horizontal="center" vertical="center" wrapText="1"/>
    </xf>
    <xf numFmtId="0" fontId="10" fillId="0" borderId="0" xfId="7" applyFont="1" applyAlignment="1">
      <alignment horizontal="center"/>
    </xf>
    <xf numFmtId="172" fontId="10" fillId="38" borderId="65" xfId="1" applyNumberFormat="1" applyFont="1" applyFill="1" applyBorder="1" applyProtection="1"/>
    <xf numFmtId="172" fontId="10" fillId="38" borderId="66" xfId="1" applyNumberFormat="1" applyFont="1" applyFill="1" applyBorder="1" applyProtection="1"/>
    <xf numFmtId="172" fontId="10" fillId="38" borderId="67" xfId="1" applyNumberFormat="1" applyFont="1" applyFill="1" applyBorder="1" applyProtection="1"/>
    <xf numFmtId="172" fontId="10" fillId="38" borderId="59" xfId="1" applyNumberFormat="1" applyFont="1" applyFill="1" applyBorder="1" applyProtection="1"/>
    <xf numFmtId="172" fontId="10" fillId="38" borderId="60" xfId="1" applyNumberFormat="1" applyFont="1" applyFill="1" applyBorder="1" applyProtection="1"/>
    <xf numFmtId="172" fontId="10" fillId="38" borderId="61" xfId="1" applyNumberFormat="1" applyFont="1" applyFill="1" applyBorder="1" applyProtection="1"/>
    <xf numFmtId="172" fontId="10" fillId="38" borderId="71" xfId="1" applyNumberFormat="1" applyFont="1" applyFill="1" applyBorder="1" applyProtection="1"/>
    <xf numFmtId="172" fontId="10" fillId="38" borderId="72" xfId="1" applyNumberFormat="1" applyFont="1" applyFill="1" applyBorder="1" applyProtection="1"/>
    <xf numFmtId="172" fontId="10" fillId="38" borderId="73" xfId="1" applyNumberFormat="1" applyFont="1" applyFill="1" applyBorder="1" applyProtection="1"/>
    <xf numFmtId="1" fontId="8" fillId="2" borderId="71" xfId="0" applyNumberFormat="1" applyFont="1" applyFill="1" applyBorder="1" applyAlignment="1">
      <alignment horizontal="center" vertical="center"/>
    </xf>
    <xf numFmtId="1" fontId="8" fillId="2" borderId="72" xfId="0" applyNumberFormat="1" applyFont="1" applyFill="1" applyBorder="1" applyAlignment="1">
      <alignment horizontal="center" vertical="center"/>
    </xf>
    <xf numFmtId="172" fontId="11" fillId="38" borderId="71" xfId="1" applyNumberFormat="1" applyFont="1" applyFill="1" applyBorder="1" applyProtection="1"/>
    <xf numFmtId="172" fontId="11" fillId="38" borderId="72" xfId="1" applyNumberFormat="1" applyFont="1" applyFill="1" applyBorder="1" applyProtection="1"/>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0" fontId="10" fillId="38" borderId="64" xfId="77" applyNumberFormat="1" applyFont="1" applyFill="1" applyBorder="1" applyProtection="1"/>
    <xf numFmtId="172" fontId="10" fillId="39" borderId="59" xfId="1" applyNumberFormat="1" applyFont="1" applyFill="1" applyBorder="1" applyProtection="1"/>
    <xf numFmtId="172" fontId="10" fillId="39" borderId="60" xfId="1" applyNumberFormat="1" applyFont="1" applyFill="1" applyBorder="1" applyProtection="1"/>
    <xf numFmtId="170" fontId="10" fillId="38" borderId="70" xfId="77" applyNumberFormat="1" applyFont="1" applyFill="1" applyBorder="1" applyProtection="1"/>
    <xf numFmtId="0" fontId="0" fillId="0" borderId="0" xfId="0" applyAlignment="1">
      <alignment horizontal="left" indent="1"/>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0" fontId="0" fillId="53" borderId="0" xfId="0" applyFill="1"/>
    <xf numFmtId="173" fontId="0" fillId="0" borderId="0" xfId="0" applyNumberFormat="1" applyAlignment="1" applyProtection="1">
      <alignment horizontal="center" vertical="center"/>
      <protection locked="0"/>
    </xf>
    <xf numFmtId="0" fontId="8" fillId="0" borderId="0" xfId="0" applyFont="1" applyAlignment="1" applyProtection="1">
      <alignment horizontal="center" vertical="center"/>
      <protection locked="0"/>
    </xf>
    <xf numFmtId="252" fontId="0" fillId="0" borderId="0" xfId="0" applyNumberFormat="1" applyAlignment="1" applyProtection="1">
      <alignment horizontal="center" vertical="center"/>
      <protection locked="0"/>
    </xf>
    <xf numFmtId="172" fontId="10" fillId="39" borderId="85" xfId="1" applyNumberFormat="1" applyFont="1" applyFill="1" applyBorder="1" applyProtection="1"/>
    <xf numFmtId="172" fontId="10" fillId="39" borderId="81" xfId="1" applyNumberFormat="1" applyFont="1" applyFill="1" applyBorder="1" applyProtection="1"/>
    <xf numFmtId="172" fontId="10" fillId="39" borderId="82" xfId="1" applyNumberFormat="1" applyFont="1" applyFill="1" applyBorder="1" applyProtection="1"/>
    <xf numFmtId="172" fontId="10" fillId="39" borderId="86" xfId="1" applyNumberFormat="1" applyFont="1" applyFill="1" applyBorder="1" applyProtection="1"/>
    <xf numFmtId="172" fontId="10" fillId="39" borderId="87" xfId="1" applyNumberFormat="1" applyFont="1" applyFill="1" applyBorder="1" applyProtection="1"/>
    <xf numFmtId="0" fontId="34" fillId="0" borderId="0" xfId="92" applyAlignment="1">
      <alignment horizontal="left" indent="1"/>
    </xf>
    <xf numFmtId="0" fontId="26" fillId="0" borderId="0" xfId="0" applyFont="1" applyAlignment="1">
      <alignment horizontal="center"/>
    </xf>
    <xf numFmtId="0" fontId="0" fillId="0" borderId="63" xfId="0" applyBorder="1" applyAlignment="1">
      <alignment horizontal="center"/>
    </xf>
    <xf numFmtId="0" fontId="0" fillId="0" borderId="64" xfId="0" applyBorder="1" applyAlignment="1">
      <alignment horizontal="center"/>
    </xf>
    <xf numFmtId="172" fontId="10" fillId="38" borderId="100" xfId="1" applyNumberFormat="1" applyFont="1" applyFill="1" applyBorder="1" applyProtection="1"/>
    <xf numFmtId="10" fontId="0" fillId="0" borderId="64" xfId="0" applyNumberFormat="1" applyBorder="1"/>
    <xf numFmtId="3" fontId="11" fillId="0" borderId="0" xfId="89" applyNumberFormat="1" applyFont="1" applyAlignment="1">
      <alignment horizontal="left" indent="1"/>
    </xf>
    <xf numFmtId="0" fontId="0" fillId="53" borderId="0" xfId="0" applyFill="1" applyAlignment="1">
      <alignment horizontal="left" indent="1"/>
    </xf>
    <xf numFmtId="0" fontId="247"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247" fillId="116" borderId="0" xfId="0" applyFont="1" applyFill="1"/>
    <xf numFmtId="0" fontId="247" fillId="116" borderId="0" xfId="0" applyFont="1" applyFill="1" applyAlignment="1">
      <alignment horizontal="left" indent="1"/>
    </xf>
    <xf numFmtId="0" fontId="247" fillId="116" borderId="0" xfId="0" applyFont="1" applyFill="1" applyAlignment="1">
      <alignment wrapText="1"/>
    </xf>
    <xf numFmtId="0" fontId="11" fillId="0" borderId="0" xfId="77" applyNumberFormat="1" applyFont="1" applyFill="1" applyBorder="1" applyAlignment="1" applyProtection="1">
      <alignment horizontal="left" indent="1"/>
    </xf>
    <xf numFmtId="0" fontId="10" fillId="0" borderId="0" xfId="77" applyNumberFormat="1" applyFont="1" applyFill="1" applyBorder="1" applyAlignment="1" applyProtection="1">
      <alignment horizontal="center"/>
    </xf>
    <xf numFmtId="170" fontId="11" fillId="0" borderId="0" xfId="77" applyNumberFormat="1" applyFont="1" applyFill="1" applyBorder="1" applyProtection="1"/>
    <xf numFmtId="170" fontId="10" fillId="38" borderId="59" xfId="77" applyNumberFormat="1" applyFont="1" applyFill="1" applyBorder="1" applyProtection="1"/>
    <xf numFmtId="170" fontId="10" fillId="38" borderId="61" xfId="77" applyNumberFormat="1" applyFont="1" applyFill="1" applyBorder="1" applyProtection="1"/>
    <xf numFmtId="172" fontId="10" fillId="38" borderId="68" xfId="1" applyNumberFormat="1" applyFont="1" applyFill="1" applyBorder="1" applyProtection="1"/>
    <xf numFmtId="172" fontId="10" fillId="38" borderId="69" xfId="1" applyNumberFormat="1" applyFont="1" applyFill="1" applyBorder="1" applyProtection="1"/>
    <xf numFmtId="0" fontId="11" fillId="53" borderId="0" xfId="77" applyNumberFormat="1" applyFont="1" applyFill="1" applyBorder="1" applyAlignment="1" applyProtection="1">
      <alignment horizontal="left" indent="1"/>
    </xf>
    <xf numFmtId="0" fontId="10" fillId="53" borderId="0" xfId="77" applyNumberFormat="1" applyFont="1" applyFill="1" applyBorder="1" applyAlignment="1" applyProtection="1">
      <alignment horizontal="center"/>
    </xf>
    <xf numFmtId="170" fontId="11" fillId="53" borderId="0" xfId="77" applyNumberFormat="1" applyFont="1" applyFill="1" applyBorder="1" applyProtection="1"/>
    <xf numFmtId="0" fontId="11" fillId="116" borderId="0" xfId="77" applyNumberFormat="1" applyFont="1" applyFill="1" applyBorder="1" applyAlignment="1" applyProtection="1">
      <alignment horizontal="left" indent="1"/>
    </xf>
    <xf numFmtId="0" fontId="10" fillId="116" borderId="0" xfId="77" applyNumberFormat="1" applyFont="1" applyFill="1" applyBorder="1" applyAlignment="1" applyProtection="1">
      <alignment horizontal="left" indent="1"/>
    </xf>
    <xf numFmtId="0" fontId="10" fillId="42" borderId="0" xfId="7" applyFont="1" applyFill="1" applyAlignment="1">
      <alignment horizontal="left" indent="1"/>
    </xf>
    <xf numFmtId="173" fontId="0" fillId="117" borderId="63" xfId="0" applyNumberFormat="1" applyFill="1" applyBorder="1" applyAlignment="1">
      <alignment horizontal="right" indent="1"/>
    </xf>
    <xf numFmtId="172" fontId="10" fillId="38" borderId="78" xfId="1" applyNumberFormat="1" applyFont="1" applyFill="1" applyBorder="1" applyProtection="1"/>
    <xf numFmtId="172" fontId="10" fillId="38" borderId="89" xfId="1" applyNumberFormat="1" applyFont="1" applyFill="1" applyBorder="1" applyProtection="1"/>
    <xf numFmtId="172" fontId="10" fillId="38" borderId="105" xfId="1" applyNumberFormat="1" applyFont="1" applyFill="1" applyBorder="1" applyProtection="1"/>
    <xf numFmtId="172" fontId="10" fillId="52" borderId="59" xfId="1" applyNumberFormat="1" applyFont="1" applyFill="1" applyBorder="1" applyProtection="1"/>
    <xf numFmtId="0" fontId="8" fillId="0" borderId="0" xfId="0" applyFont="1" applyAlignment="1" applyProtection="1">
      <alignment horizontal="left" indent="1"/>
      <protection locked="0"/>
    </xf>
    <xf numFmtId="0" fontId="0" fillId="0" borderId="0" xfId="0" applyAlignment="1" applyProtection="1">
      <alignment horizontal="left" indent="1"/>
      <protection locked="0"/>
    </xf>
    <xf numFmtId="0" fontId="8" fillId="0" borderId="0" xfId="0" applyFont="1" applyAlignment="1">
      <alignment horizontal="left" indent="1"/>
    </xf>
    <xf numFmtId="0" fontId="0" fillId="0" borderId="0" xfId="0" applyAlignment="1">
      <alignment horizontal="left" vertical="center" wrapText="1" indent="1"/>
    </xf>
    <xf numFmtId="0" fontId="247" fillId="0" borderId="0" xfId="0" applyFont="1" applyAlignment="1">
      <alignment horizontal="left" indent="1"/>
    </xf>
    <xf numFmtId="0" fontId="247" fillId="0" borderId="0" xfId="0" applyFont="1" applyAlignment="1">
      <alignment wrapText="1"/>
    </xf>
    <xf numFmtId="0" fontId="247" fillId="0" borderId="0" xfId="0" applyFont="1"/>
    <xf numFmtId="3" fontId="0" fillId="0" borderId="0" xfId="0" applyNumberFormat="1"/>
    <xf numFmtId="0" fontId="0" fillId="52" borderId="78" xfId="0" applyFill="1" applyBorder="1" applyAlignment="1">
      <alignment horizontal="left" vertical="center" wrapText="1" indent="1"/>
    </xf>
    <xf numFmtId="0" fontId="30" fillId="42" borderId="0" xfId="90" applyFont="1" applyFill="1" applyAlignment="1">
      <alignment horizontal="left"/>
    </xf>
    <xf numFmtId="0" fontId="10" fillId="0" borderId="0" xfId="7" applyFont="1" applyAlignment="1">
      <alignment horizontal="left" vertical="center" wrapText="1" indent="1"/>
    </xf>
    <xf numFmtId="0" fontId="0" fillId="42" borderId="0" xfId="0" applyFill="1" applyAlignment="1" applyProtection="1">
      <alignment horizontal="center" vertical="center"/>
      <protection locked="0"/>
    </xf>
    <xf numFmtId="172" fontId="11" fillId="51" borderId="71" xfId="1" applyNumberFormat="1" applyFont="1" applyFill="1" applyBorder="1" applyProtection="1"/>
    <xf numFmtId="170" fontId="10" fillId="116" borderId="71" xfId="1" applyNumberFormat="1" applyFont="1" applyFill="1" applyBorder="1" applyProtection="1"/>
    <xf numFmtId="170" fontId="10" fillId="116" borderId="72" xfId="1" applyNumberFormat="1" applyFont="1" applyFill="1" applyBorder="1" applyProtection="1"/>
    <xf numFmtId="170" fontId="10" fillId="51" borderId="71" xfId="1" applyNumberFormat="1" applyFont="1" applyFill="1" applyBorder="1" applyProtection="1"/>
    <xf numFmtId="170" fontId="10" fillId="51" borderId="72" xfId="1" applyNumberFormat="1" applyFont="1" applyFill="1" applyBorder="1" applyProtection="1"/>
    <xf numFmtId="0" fontId="260" fillId="47" borderId="0" xfId="90" applyFont="1" applyFill="1" applyAlignment="1">
      <alignment horizontal="left"/>
    </xf>
    <xf numFmtId="0" fontId="259" fillId="47" borderId="0" xfId="0" applyFont="1" applyFill="1"/>
    <xf numFmtId="0" fontId="261" fillId="47" borderId="0" xfId="92" applyFont="1" applyFill="1" applyAlignment="1">
      <alignment wrapText="1"/>
    </xf>
    <xf numFmtId="0" fontId="259" fillId="47" borderId="0" xfId="0" applyFont="1" applyFill="1" applyAlignment="1">
      <alignment wrapText="1"/>
    </xf>
    <xf numFmtId="0" fontId="259" fillId="47" borderId="0" xfId="0" applyFont="1" applyFill="1" applyAlignment="1">
      <alignment horizontal="left" indent="1"/>
    </xf>
    <xf numFmtId="0" fontId="259" fillId="47" borderId="11" xfId="0" applyFont="1" applyFill="1" applyBorder="1" applyAlignment="1">
      <alignment wrapText="1"/>
    </xf>
    <xf numFmtId="0" fontId="259" fillId="47" borderId="90" xfId="0" applyFont="1" applyFill="1" applyBorder="1" applyAlignment="1">
      <alignment wrapText="1"/>
    </xf>
    <xf numFmtId="350" fontId="0" fillId="0" borderId="0" xfId="0" applyNumberFormat="1"/>
    <xf numFmtId="0" fontId="0" fillId="0" borderId="0" xfId="0" applyProtection="1">
      <protection locked="0"/>
    </xf>
    <xf numFmtId="0" fontId="0" fillId="0" borderId="0" xfId="0" applyAlignment="1">
      <alignment horizontal="left" wrapText="1" indent="1"/>
    </xf>
    <xf numFmtId="3" fontId="10" fillId="0" borderId="99" xfId="89" applyNumberFormat="1" applyFont="1" applyBorder="1" applyAlignment="1">
      <alignment horizontal="left" indent="1"/>
    </xf>
    <xf numFmtId="348" fontId="0" fillId="0" borderId="63" xfId="0" applyNumberFormat="1" applyBorder="1" applyAlignment="1">
      <alignment horizontal="right" indent="1"/>
    </xf>
    <xf numFmtId="178" fontId="0" fillId="0" borderId="63" xfId="0" applyNumberFormat="1" applyBorder="1" applyAlignment="1">
      <alignment horizontal="right" indent="1"/>
    </xf>
    <xf numFmtId="164" fontId="0" fillId="0" borderId="63" xfId="0" applyNumberFormat="1" applyBorder="1" applyAlignment="1">
      <alignment horizontal="right" indent="1"/>
    </xf>
    <xf numFmtId="3" fontId="10" fillId="0" borderId="97" xfId="89" applyNumberFormat="1" applyFont="1" applyBorder="1" applyAlignment="1">
      <alignment horizontal="left" indent="1"/>
    </xf>
    <xf numFmtId="178" fontId="0" fillId="0" borderId="66" xfId="0" applyNumberFormat="1" applyBorder="1" applyAlignment="1">
      <alignment horizontal="right" indent="1"/>
    </xf>
    <xf numFmtId="172" fontId="0" fillId="0" borderId="63" xfId="0" applyNumberFormat="1" applyBorder="1" applyAlignment="1">
      <alignment horizontal="right" indent="1"/>
    </xf>
    <xf numFmtId="173" fontId="10" fillId="132" borderId="0" xfId="7" applyNumberFormat="1" applyFont="1" applyFill="1" applyAlignment="1">
      <alignment horizontal="center"/>
    </xf>
    <xf numFmtId="9" fontId="0" fillId="132" borderId="0" xfId="0" applyNumberFormat="1" applyFill="1" applyAlignment="1">
      <alignment horizontal="center"/>
    </xf>
    <xf numFmtId="178" fontId="10" fillId="0" borderId="0" xfId="7" applyNumberFormat="1" applyFont="1" applyAlignment="1">
      <alignment horizontal="center" vertical="center"/>
    </xf>
    <xf numFmtId="0" fontId="10" fillId="42" borderId="0" xfId="7" applyFont="1" applyFill="1" applyAlignment="1">
      <alignment horizontal="center"/>
    </xf>
    <xf numFmtId="10" fontId="10" fillId="0" borderId="0" xfId="7" applyNumberFormat="1" applyFont="1" applyAlignment="1">
      <alignment horizontal="center" vertical="center"/>
    </xf>
    <xf numFmtId="168" fontId="36" fillId="0" borderId="0" xfId="0" applyNumberFormat="1" applyFont="1" applyAlignment="1">
      <alignment vertical="center"/>
    </xf>
    <xf numFmtId="0" fontId="0" fillId="132" borderId="0" xfId="0" applyFill="1"/>
    <xf numFmtId="0" fontId="0" fillId="0" borderId="117" xfId="0" applyBorder="1"/>
    <xf numFmtId="0" fontId="0" fillId="132" borderId="117" xfId="0" applyFill="1" applyBorder="1"/>
    <xf numFmtId="0" fontId="10" fillId="0" borderId="0" xfId="0" applyFont="1"/>
    <xf numFmtId="350" fontId="10" fillId="0" borderId="0" xfId="0" applyNumberFormat="1" applyFont="1"/>
    <xf numFmtId="347" fontId="246" fillId="0" borderId="0" xfId="0" applyNumberFormat="1" applyFont="1" applyAlignment="1">
      <alignment vertical="center"/>
    </xf>
    <xf numFmtId="3"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10" fontId="0" fillId="0" borderId="95" xfId="0" applyNumberFormat="1" applyBorder="1"/>
    <xf numFmtId="10" fontId="0" fillId="0" borderId="61" xfId="0" applyNumberFormat="1" applyBorder="1"/>
    <xf numFmtId="10" fontId="0" fillId="0" borderId="93" xfId="0" applyNumberFormat="1" applyBorder="1"/>
    <xf numFmtId="0" fontId="0" fillId="0" borderId="11" xfId="0" applyBorder="1"/>
    <xf numFmtId="178" fontId="0" fillId="0" borderId="0" xfId="0" applyNumberFormat="1"/>
    <xf numFmtId="0" fontId="36" fillId="0" borderId="0" xfId="0" applyFont="1"/>
    <xf numFmtId="0" fontId="0" fillId="0" borderId="0" xfId="0" applyAlignment="1" applyProtection="1">
      <alignment horizontal="center"/>
      <protection locked="0"/>
    </xf>
    <xf numFmtId="0" fontId="10" fillId="0" borderId="89" xfId="7" applyFont="1" applyBorder="1" applyAlignment="1">
      <alignment horizontal="left" vertical="center" wrapText="1" indent="1"/>
    </xf>
    <xf numFmtId="173" fontId="0" fillId="117" borderId="59" xfId="0" applyNumberFormat="1" applyFill="1" applyBorder="1" applyAlignment="1">
      <alignment horizontal="right" indent="1"/>
    </xf>
    <xf numFmtId="173" fontId="0" fillId="117" borderId="60" xfId="0" applyNumberFormat="1" applyFill="1" applyBorder="1" applyAlignment="1">
      <alignment horizontal="right" indent="1"/>
    </xf>
    <xf numFmtId="173" fontId="0" fillId="117" borderId="62" xfId="0" applyNumberFormat="1" applyFill="1" applyBorder="1" applyAlignment="1">
      <alignment horizontal="right" indent="1"/>
    </xf>
    <xf numFmtId="10" fontId="0" fillId="0" borderId="99" xfId="0" applyNumberFormat="1" applyBorder="1"/>
    <xf numFmtId="173" fontId="0" fillId="117" borderId="64" xfId="0" applyNumberFormat="1" applyFill="1" applyBorder="1" applyAlignment="1">
      <alignment horizontal="right" indent="1"/>
    </xf>
    <xf numFmtId="10" fontId="0" fillId="0" borderId="97" xfId="0" applyNumberFormat="1" applyBorder="1"/>
    <xf numFmtId="10" fontId="0" fillId="0" borderId="91" xfId="0" applyNumberFormat="1" applyBorder="1"/>
    <xf numFmtId="173" fontId="0" fillId="117" borderId="66" xfId="0" applyNumberFormat="1" applyFill="1" applyBorder="1" applyAlignment="1">
      <alignment horizontal="right" indent="1"/>
    </xf>
    <xf numFmtId="173" fontId="0" fillId="117" borderId="67" xfId="0" applyNumberFormat="1" applyFill="1" applyBorder="1" applyAlignment="1">
      <alignment horizontal="right" indent="1"/>
    </xf>
    <xf numFmtId="10" fontId="0" fillId="0" borderId="100" xfId="0" applyNumberFormat="1" applyBorder="1"/>
    <xf numFmtId="0" fontId="10" fillId="42" borderId="118" xfId="7" applyFont="1" applyFill="1" applyBorder="1" applyAlignment="1">
      <alignment horizontal="left" indent="1"/>
    </xf>
    <xf numFmtId="1" fontId="8" fillId="2" borderId="119" xfId="0" applyNumberFormat="1" applyFont="1" applyFill="1" applyBorder="1" applyAlignment="1">
      <alignment horizontal="center" vertical="center"/>
    </xf>
    <xf numFmtId="1" fontId="8" fillId="2" borderId="120" xfId="0" applyNumberFormat="1" applyFont="1" applyFill="1" applyBorder="1" applyAlignment="1">
      <alignment horizontal="center" vertical="center"/>
    </xf>
    <xf numFmtId="1" fontId="0" fillId="0" borderId="118" xfId="0" applyNumberFormat="1" applyBorder="1" applyAlignment="1">
      <alignment horizontal="left" indent="1"/>
    </xf>
    <xf numFmtId="0" fontId="0" fillId="0" borderId="121" xfId="0" applyBorder="1"/>
    <xf numFmtId="172" fontId="10" fillId="38" borderId="118" xfId="1" applyNumberFormat="1" applyFont="1" applyFill="1" applyBorder="1" applyProtection="1"/>
    <xf numFmtId="172" fontId="10" fillId="38" borderId="119" xfId="1" applyNumberFormat="1" applyFont="1" applyFill="1" applyBorder="1" applyProtection="1"/>
    <xf numFmtId="172" fontId="10" fillId="38" borderId="120" xfId="1" applyNumberFormat="1" applyFont="1" applyFill="1" applyBorder="1" applyProtection="1"/>
    <xf numFmtId="10" fontId="0" fillId="117" borderId="63" xfId="77" applyNumberFormat="1" applyFont="1" applyFill="1" applyBorder="1" applyAlignment="1">
      <alignment horizontal="right" indent="1"/>
    </xf>
    <xf numFmtId="3" fontId="0" fillId="0" borderId="121" xfId="0" applyNumberFormat="1" applyBorder="1" applyAlignment="1">
      <alignment horizontal="center" vertical="center" wrapText="1"/>
    </xf>
    <xf numFmtId="0" fontId="0" fillId="0" borderId="94" xfId="0" applyBorder="1" applyAlignment="1">
      <alignment horizontal="left" vertical="center" wrapText="1" indent="1"/>
    </xf>
    <xf numFmtId="178" fontId="10" fillId="52" borderId="6" xfId="7" applyNumberFormat="1" applyFont="1" applyFill="1" applyBorder="1" applyAlignment="1">
      <alignment horizontal="center" vertical="center"/>
    </xf>
    <xf numFmtId="172" fontId="10" fillId="38" borderId="76" xfId="1" applyNumberFormat="1" applyFont="1" applyFill="1" applyBorder="1" applyProtection="1"/>
    <xf numFmtId="172" fontId="11" fillId="38" borderId="122" xfId="1" applyNumberFormat="1" applyFont="1" applyFill="1" applyBorder="1" applyProtection="1"/>
    <xf numFmtId="172" fontId="11" fillId="38" borderId="123" xfId="1" applyNumberFormat="1" applyFont="1" applyFill="1" applyBorder="1" applyProtection="1"/>
    <xf numFmtId="172" fontId="11" fillId="38" borderId="124" xfId="1" applyNumberFormat="1" applyFont="1" applyFill="1" applyBorder="1" applyProtection="1"/>
    <xf numFmtId="0" fontId="0" fillId="0" borderId="125" xfId="0" applyBorder="1"/>
    <xf numFmtId="170" fontId="11" fillId="38" borderId="122" xfId="77" applyNumberFormat="1" applyFont="1" applyFill="1" applyBorder="1" applyProtection="1"/>
    <xf numFmtId="170" fontId="11" fillId="38" borderId="124" xfId="77" applyNumberFormat="1" applyFont="1" applyFill="1" applyBorder="1" applyProtection="1"/>
    <xf numFmtId="170" fontId="11" fillId="38" borderId="123" xfId="77" applyNumberFormat="1" applyFont="1" applyFill="1" applyBorder="1" applyProtection="1"/>
    <xf numFmtId="170" fontId="10" fillId="38" borderId="77" xfId="77" applyNumberFormat="1" applyFont="1" applyFill="1" applyBorder="1" applyProtection="1"/>
    <xf numFmtId="170" fontId="11" fillId="38" borderId="126" xfId="77" applyNumberFormat="1" applyFont="1" applyFill="1" applyBorder="1" applyProtection="1"/>
    <xf numFmtId="170" fontId="10"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60" fillId="0" borderId="0" xfId="90" applyFont="1" applyAlignment="1">
      <alignment horizontal="left"/>
    </xf>
    <xf numFmtId="0" fontId="259" fillId="0" borderId="0" xfId="0" applyFont="1"/>
    <xf numFmtId="0" fontId="259" fillId="0" borderId="0" xfId="0" applyFont="1" applyAlignment="1">
      <alignment wrapText="1"/>
    </xf>
    <xf numFmtId="0" fontId="10" fillId="0" borderId="11" xfId="77" applyNumberFormat="1" applyFont="1" applyFill="1" applyBorder="1" applyAlignment="1" applyProtection="1">
      <alignment horizontal="center"/>
    </xf>
    <xf numFmtId="0" fontId="10" fillId="51" borderId="0" xfId="77" applyNumberFormat="1" applyFont="1" applyFill="1" applyBorder="1" applyAlignment="1" applyProtection="1">
      <alignment horizontal="left" indent="1"/>
    </xf>
    <xf numFmtId="0" fontId="11" fillId="51" borderId="0" xfId="77" applyNumberFormat="1" applyFont="1" applyFill="1" applyBorder="1" applyAlignment="1" applyProtection="1">
      <alignment horizontal="left" indent="1"/>
    </xf>
    <xf numFmtId="3" fontId="0" fillId="0" borderId="118" xfId="0" applyNumberFormat="1" applyBorder="1" applyAlignment="1">
      <alignment horizontal="center" vertical="center" wrapText="1"/>
    </xf>
    <xf numFmtId="0" fontId="0" fillId="0" borderId="99" xfId="0" applyBorder="1" applyAlignment="1">
      <alignment horizontal="left" vertical="center" wrapText="1" indent="1"/>
    </xf>
    <xf numFmtId="179" fontId="10" fillId="3" borderId="0" xfId="0" applyNumberFormat="1" applyFont="1" applyFill="1" applyAlignment="1" applyProtection="1">
      <alignment horizontal="left" vertical="center" indent="1"/>
      <protection locked="0"/>
    </xf>
    <xf numFmtId="10" fontId="0" fillId="0" borderId="0" xfId="0" applyNumberFormat="1"/>
    <xf numFmtId="173" fontId="0" fillId="0" borderId="125" xfId="0" applyNumberFormat="1" applyBorder="1" applyAlignment="1">
      <alignment horizontal="right" indent="1"/>
    </xf>
    <xf numFmtId="173" fontId="0" fillId="117" borderId="86" xfId="0" applyNumberFormat="1" applyFill="1" applyBorder="1" applyAlignment="1">
      <alignment horizontal="right" indent="1"/>
    </xf>
    <xf numFmtId="173" fontId="0" fillId="117" borderId="127" xfId="0" applyNumberFormat="1" applyFill="1" applyBorder="1" applyAlignment="1">
      <alignment horizontal="right" indent="1"/>
    </xf>
    <xf numFmtId="10" fontId="0" fillId="117" borderId="128" xfId="77" applyNumberFormat="1" applyFont="1" applyFill="1" applyBorder="1" applyAlignment="1">
      <alignment horizontal="right" indent="1"/>
    </xf>
    <xf numFmtId="173" fontId="0" fillId="117" borderId="129" xfId="0" applyNumberFormat="1" applyFill="1" applyBorder="1" applyAlignment="1">
      <alignment horizontal="right" indent="1"/>
    </xf>
    <xf numFmtId="10" fontId="0" fillId="0" borderId="130" xfId="0" applyNumberFormat="1" applyBorder="1"/>
    <xf numFmtId="173" fontId="0" fillId="117" borderId="128" xfId="0" applyNumberFormat="1" applyFill="1" applyBorder="1" applyAlignment="1">
      <alignment horizontal="right" indent="1"/>
    </xf>
    <xf numFmtId="10" fontId="0" fillId="0" borderId="131" xfId="0" applyNumberFormat="1" applyBorder="1"/>
    <xf numFmtId="10" fontId="0" fillId="0" borderId="132" xfId="0" applyNumberFormat="1" applyBorder="1"/>
    <xf numFmtId="173" fontId="0" fillId="117" borderId="133" xfId="0" applyNumberFormat="1" applyFill="1" applyBorder="1" applyAlignment="1">
      <alignment horizontal="right" indent="1"/>
    </xf>
    <xf numFmtId="173" fontId="0" fillId="117" borderId="134" xfId="0" applyNumberFormat="1" applyFill="1" applyBorder="1" applyAlignment="1">
      <alignment horizontal="right" indent="1"/>
    </xf>
    <xf numFmtId="1" fontId="8" fillId="53" borderId="135" xfId="0" applyNumberFormat="1" applyFont="1" applyFill="1" applyBorder="1" applyAlignment="1">
      <alignment horizontal="center" vertical="center"/>
    </xf>
    <xf numFmtId="1" fontId="8" fillId="53" borderId="136" xfId="0" applyNumberFormat="1" applyFont="1" applyFill="1" applyBorder="1" applyAlignment="1">
      <alignment horizontal="center" vertical="center"/>
    </xf>
    <xf numFmtId="1" fontId="8" fillId="53" borderId="137" xfId="0" applyNumberFormat="1" applyFont="1" applyFill="1" applyBorder="1" applyAlignment="1">
      <alignment horizontal="center" vertical="center"/>
    </xf>
    <xf numFmtId="1" fontId="8" fillId="53" borderId="138" xfId="0" applyNumberFormat="1" applyFont="1" applyFill="1" applyBorder="1" applyAlignment="1">
      <alignment horizontal="center" vertical="center"/>
    </xf>
    <xf numFmtId="173" fontId="0" fillId="117" borderId="142" xfId="0" applyNumberFormat="1" applyFill="1" applyBorder="1" applyAlignment="1">
      <alignment horizontal="right" indent="1"/>
    </xf>
    <xf numFmtId="173" fontId="0" fillId="117" borderId="143" xfId="0" applyNumberFormat="1" applyFill="1" applyBorder="1" applyAlignment="1">
      <alignment horizontal="right" indent="1"/>
    </xf>
    <xf numFmtId="10" fontId="0" fillId="0" borderId="144" xfId="0" applyNumberFormat="1" applyBorder="1"/>
    <xf numFmtId="10" fontId="0" fillId="117" borderId="143" xfId="77" applyNumberFormat="1" applyFont="1" applyFill="1" applyBorder="1" applyAlignment="1">
      <alignment horizontal="right" indent="1"/>
    </xf>
    <xf numFmtId="10" fontId="0" fillId="117" borderId="145" xfId="77" applyNumberFormat="1" applyFont="1" applyFill="1" applyBorder="1" applyAlignment="1">
      <alignment horizontal="right" indent="1"/>
    </xf>
    <xf numFmtId="3" fontId="10" fillId="0" borderId="142" xfId="89" applyNumberFormat="1" applyFont="1" applyBorder="1" applyAlignment="1">
      <alignment horizontal="left" indent="1"/>
    </xf>
    <xf numFmtId="0" fontId="0" fillId="0" borderId="143" xfId="0" applyBorder="1" applyAlignment="1">
      <alignment horizontal="center"/>
    </xf>
    <xf numFmtId="0" fontId="0" fillId="0" borderId="146" xfId="0" applyBorder="1" applyAlignment="1">
      <alignment horizontal="center"/>
    </xf>
    <xf numFmtId="0" fontId="0" fillId="0" borderId="147" xfId="0" applyBorder="1" applyAlignment="1">
      <alignment horizontal="center" vertical="center"/>
    </xf>
    <xf numFmtId="3" fontId="10" fillId="0" borderId="129" xfId="89" applyNumberFormat="1" applyFont="1" applyBorder="1" applyAlignment="1">
      <alignment horizontal="left" indent="1"/>
    </xf>
    <xf numFmtId="0" fontId="0" fillId="0" borderId="148" xfId="0" applyBorder="1" applyAlignment="1">
      <alignment horizontal="center" vertical="center"/>
    </xf>
    <xf numFmtId="3" fontId="10" fillId="0" borderId="149" xfId="89" applyNumberFormat="1" applyFont="1" applyBorder="1" applyAlignment="1">
      <alignment horizontal="left" indent="1"/>
    </xf>
    <xf numFmtId="0" fontId="0" fillId="0" borderId="133" xfId="0" applyBorder="1" applyAlignment="1">
      <alignment horizontal="center"/>
    </xf>
    <xf numFmtId="0" fontId="0" fillId="0" borderId="150" xfId="0" applyBorder="1" applyAlignment="1">
      <alignment horizontal="center"/>
    </xf>
    <xf numFmtId="0" fontId="0" fillId="0" borderId="151" xfId="0" applyBorder="1" applyAlignment="1">
      <alignment horizontal="center" vertical="center"/>
    </xf>
    <xf numFmtId="0" fontId="10" fillId="0" borderId="135" xfId="7" applyFont="1" applyBorder="1" applyAlignment="1">
      <alignment horizontal="left" indent="1"/>
    </xf>
    <xf numFmtId="10" fontId="0" fillId="0" borderId="152" xfId="0" applyNumberFormat="1" applyBorder="1"/>
    <xf numFmtId="0" fontId="0" fillId="0" borderId="137" xfId="0" applyBorder="1"/>
    <xf numFmtId="0" fontId="0" fillId="0" borderId="153" xfId="0" applyBorder="1"/>
    <xf numFmtId="0" fontId="0" fillId="0" borderId="138" xfId="0" applyBorder="1"/>
    <xf numFmtId="0" fontId="0" fillId="0" borderId="154" xfId="0" applyBorder="1" applyAlignment="1">
      <alignment horizontal="center" vertical="center" wrapText="1"/>
    </xf>
    <xf numFmtId="0" fontId="10" fillId="0" borderId="155" xfId="7" applyFont="1" applyBorder="1" applyAlignment="1">
      <alignment horizontal="center" vertical="center" wrapText="1"/>
    </xf>
    <xf numFmtId="0" fontId="0" fillId="0" borderId="6" xfId="0" applyBorder="1" applyAlignment="1">
      <alignment horizontal="left" vertical="center"/>
    </xf>
    <xf numFmtId="0" fontId="247" fillId="0" borderId="6" xfId="0" applyFont="1" applyBorder="1" applyAlignment="1">
      <alignment horizontal="center" vertical="center"/>
    </xf>
    <xf numFmtId="0" fontId="0" fillId="0" borderId="0" xfId="0" applyAlignment="1" applyProtection="1">
      <alignment horizontal="left" vertical="center"/>
      <protection locked="0"/>
    </xf>
    <xf numFmtId="0" fontId="34" fillId="0" borderId="0" xfId="92" quotePrefix="1" applyAlignment="1">
      <alignment horizontal="left" indent="1"/>
    </xf>
    <xf numFmtId="0" fontId="0" fillId="0" borderId="6" xfId="0" applyBorder="1" applyAlignment="1">
      <alignment horizontal="center" vertical="center" wrapText="1"/>
    </xf>
    <xf numFmtId="0" fontId="0" fillId="0" borderId="125" xfId="0" applyBorder="1" applyAlignment="1" applyProtection="1">
      <alignment horizontal="center" vertical="center"/>
      <protection locked="0"/>
    </xf>
    <xf numFmtId="351" fontId="0" fillId="0" borderId="125"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0" fillId="0" borderId="6" xfId="7" applyFont="1" applyBorder="1" applyAlignment="1">
      <alignment horizontal="left" indent="1"/>
    </xf>
    <xf numFmtId="0" fontId="10" fillId="3" borderId="6" xfId="1" applyNumberFormat="1" applyFont="1" applyFill="1" applyBorder="1" applyAlignment="1" applyProtection="1">
      <alignment horizontal="right" vertical="center"/>
    </xf>
    <xf numFmtId="0" fontId="10" fillId="36" borderId="6" xfId="75" applyFont="1" applyFill="1" applyBorder="1" applyAlignment="1">
      <alignment horizontal="right" vertical="center"/>
    </xf>
    <xf numFmtId="0" fontId="25" fillId="36" borderId="6" xfId="75" applyFont="1" applyFill="1" applyBorder="1"/>
    <xf numFmtId="1" fontId="10" fillId="38" borderId="6" xfId="1" applyNumberFormat="1" applyFont="1" applyFill="1" applyBorder="1" applyAlignment="1" applyProtection="1">
      <alignment horizontal="right" vertical="center"/>
    </xf>
    <xf numFmtId="0" fontId="25" fillId="38" borderId="6" xfId="75" applyFont="1" applyFill="1" applyBorder="1"/>
    <xf numFmtId="0" fontId="10" fillId="0" borderId="6" xfId="7" applyFont="1" applyBorder="1" applyAlignment="1">
      <alignment horizontal="left" wrapText="1" indent="1"/>
    </xf>
    <xf numFmtId="0" fontId="10" fillId="36" borderId="6" xfId="75" applyFont="1" applyFill="1" applyBorder="1" applyAlignment="1">
      <alignment vertical="center"/>
    </xf>
    <xf numFmtId="0" fontId="25" fillId="39" borderId="6" xfId="75" applyFont="1" applyFill="1" applyBorder="1"/>
    <xf numFmtId="0" fontId="25" fillId="40" borderId="6" xfId="75" applyFont="1" applyFill="1" applyBorder="1"/>
    <xf numFmtId="175" fontId="10" fillId="36" borderId="6" xfId="75" applyNumberFormat="1" applyFont="1" applyFill="1" applyBorder="1" applyAlignment="1">
      <alignment vertical="center"/>
    </xf>
    <xf numFmtId="0" fontId="25" fillId="37" borderId="6" xfId="75" applyFont="1" applyFill="1" applyBorder="1"/>
    <xf numFmtId="0" fontId="25" fillId="41" borderId="6" xfId="75" applyFont="1" applyFill="1" applyBorder="1"/>
    <xf numFmtId="0" fontId="25" fillId="0" borderId="6" xfId="75" applyFont="1" applyBorder="1"/>
    <xf numFmtId="0" fontId="259" fillId="47" borderId="125" xfId="0" applyFont="1" applyFill="1" applyBorder="1" applyAlignment="1">
      <alignment wrapText="1"/>
    </xf>
    <xf numFmtId="170" fontId="10" fillId="38" borderId="6" xfId="77" applyNumberFormat="1" applyFont="1" applyFill="1" applyBorder="1" applyAlignment="1" applyProtection="1">
      <alignment vertical="center"/>
    </xf>
    <xf numFmtId="0" fontId="247" fillId="132" borderId="6" xfId="0" applyFont="1" applyFill="1" applyBorder="1" applyAlignment="1">
      <alignment horizontal="center" vertical="center"/>
    </xf>
    <xf numFmtId="10" fontId="10"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0" fillId="42" borderId="6" xfId="7" applyNumberFormat="1" applyFont="1" applyFill="1" applyBorder="1" applyAlignment="1">
      <alignment horizontal="center" vertical="center"/>
    </xf>
    <xf numFmtId="0" fontId="8" fillId="2" borderId="6" xfId="0" applyFont="1" applyFill="1" applyBorder="1" applyAlignment="1">
      <alignment horizontal="center" vertical="center"/>
    </xf>
    <xf numFmtId="0" fontId="11" fillId="2" borderId="6" xfId="7" applyFont="1" applyFill="1" applyBorder="1" applyAlignment="1">
      <alignment horizontal="center" vertical="center"/>
    </xf>
    <xf numFmtId="0" fontId="0" fillId="0" borderId="6" xfId="0" applyBorder="1" applyAlignment="1">
      <alignment wrapText="1"/>
    </xf>
    <xf numFmtId="0" fontId="10"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33" fillId="0" borderId="6" xfId="75" applyFont="1" applyBorder="1" applyAlignment="1">
      <alignment horizontal="center" vertical="center"/>
    </xf>
    <xf numFmtId="0" fontId="24" fillId="0" borderId="6" xfId="75" applyFont="1" applyBorder="1" applyAlignment="1">
      <alignment horizontal="center"/>
    </xf>
    <xf numFmtId="175" fontId="10" fillId="36" borderId="6" xfId="75" applyNumberFormat="1" applyFont="1" applyFill="1" applyBorder="1"/>
    <xf numFmtId="172" fontId="10" fillId="38" borderId="6" xfId="1" applyNumberFormat="1" applyFont="1" applyFill="1" applyBorder="1" applyProtection="1"/>
    <xf numFmtId="172" fontId="10" fillId="38" borderId="6" xfId="1" applyNumberFormat="1" applyFont="1" applyFill="1" applyBorder="1" applyAlignment="1" applyProtection="1">
      <alignment horizontal="right"/>
    </xf>
    <xf numFmtId="9" fontId="9" fillId="0" borderId="6" xfId="77" applyFont="1" applyFill="1" applyBorder="1" applyAlignment="1">
      <alignment horizontal="center" vertical="center"/>
    </xf>
    <xf numFmtId="10" fontId="0" fillId="0" borderId="101" xfId="0" applyNumberFormat="1" applyBorder="1"/>
    <xf numFmtId="10" fontId="0" fillId="0" borderId="104" xfId="0" applyNumberFormat="1" applyBorder="1"/>
    <xf numFmtId="10" fontId="0" fillId="0" borderId="6" xfId="0" applyNumberFormat="1" applyBorder="1"/>
    <xf numFmtId="172" fontId="11" fillId="51" borderId="122" xfId="1" applyNumberFormat="1" applyFont="1" applyFill="1" applyBorder="1" applyProtection="1"/>
    <xf numFmtId="172" fontId="0" fillId="0" borderId="0" xfId="0" applyNumberFormat="1" applyAlignment="1" applyProtection="1">
      <alignment horizontal="center" vertical="center"/>
      <protection locked="0"/>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25" xfId="0" applyFill="1" applyBorder="1"/>
    <xf numFmtId="3" fontId="0" fillId="52" borderId="90" xfId="0" applyNumberFormat="1" applyFill="1" applyBorder="1"/>
    <xf numFmtId="3" fontId="10" fillId="51" borderId="0" xfId="1" applyNumberFormat="1" applyFont="1" applyFill="1" applyBorder="1" applyAlignment="1" applyProtection="1">
      <alignment horizontal="left" indent="1"/>
    </xf>
    <xf numFmtId="3" fontId="10" fillId="51" borderId="0" xfId="77" applyNumberFormat="1" applyFont="1" applyFill="1" applyBorder="1" applyAlignment="1" applyProtection="1">
      <alignment horizontal="left" indent="1"/>
    </xf>
    <xf numFmtId="0" fontId="260" fillId="47" borderId="162" xfId="90" applyFont="1" applyFill="1" applyBorder="1" applyAlignment="1">
      <alignment horizontal="left"/>
    </xf>
    <xf numFmtId="0" fontId="259" fillId="47" borderId="163" xfId="0" applyFont="1" applyFill="1" applyBorder="1" applyAlignment="1">
      <alignment wrapText="1"/>
    </xf>
    <xf numFmtId="0" fontId="0" fillId="52" borderId="162" xfId="0" applyFill="1" applyBorder="1" applyAlignment="1">
      <alignment horizontal="center" wrapText="1"/>
    </xf>
    <xf numFmtId="0" fontId="0" fillId="52" borderId="163" xfId="0" applyFill="1" applyBorder="1"/>
    <xf numFmtId="0" fontId="244" fillId="46" borderId="0" xfId="48236" applyFont="1" applyFill="1" applyAlignment="1">
      <alignment horizontal="center" vertical="top" wrapText="1"/>
    </xf>
    <xf numFmtId="0" fontId="0" fillId="0" borderId="167" xfId="0" applyBorder="1"/>
    <xf numFmtId="0" fontId="0" fillId="0" borderId="89" xfId="0" applyBorder="1"/>
    <xf numFmtId="0" fontId="0" fillId="0" borderId="90" xfId="0" applyBorder="1"/>
    <xf numFmtId="0" fontId="274" fillId="135" borderId="0" xfId="51695" applyFont="1" applyFill="1"/>
    <xf numFmtId="0" fontId="0" fillId="101" borderId="0" xfId="0" applyFill="1"/>
    <xf numFmtId="0" fontId="8" fillId="53" borderId="164" xfId="0" applyFont="1" applyFill="1" applyBorder="1" applyAlignment="1">
      <alignment wrapText="1"/>
    </xf>
    <xf numFmtId="0" fontId="8" fillId="53" borderId="165" xfId="0" applyFont="1" applyFill="1" applyBorder="1" applyAlignment="1">
      <alignment wrapText="1"/>
    </xf>
    <xf numFmtId="14" fontId="8" fillId="53" borderId="164" xfId="0" applyNumberFormat="1" applyFont="1" applyFill="1" applyBorder="1" applyAlignment="1">
      <alignment wrapText="1"/>
    </xf>
    <xf numFmtId="353" fontId="8" fillId="53" borderId="164" xfId="77" applyNumberFormat="1" applyFont="1" applyFill="1" applyBorder="1" applyAlignment="1">
      <alignment wrapText="1"/>
    </xf>
    <xf numFmtId="0" fontId="8" fillId="53" borderId="168" xfId="0" applyFont="1" applyFill="1" applyBorder="1" applyAlignment="1">
      <alignment wrapText="1"/>
    </xf>
    <xf numFmtId="0" fontId="0" fillId="0" borderId="6" xfId="0" applyBorder="1" applyAlignment="1">
      <alignment vertical="center" wrapText="1"/>
    </xf>
    <xf numFmtId="15" fontId="244" fillId="46" borderId="166" xfId="48236" applyNumberFormat="1" applyFont="1" applyFill="1" applyBorder="1" applyAlignment="1">
      <alignment horizontal="center" vertical="top" wrapText="1"/>
    </xf>
    <xf numFmtId="0" fontId="244" fillId="46" borderId="166" xfId="48236" applyFont="1" applyFill="1" applyBorder="1" applyAlignment="1">
      <alignment vertical="top" wrapText="1"/>
    </xf>
    <xf numFmtId="0" fontId="244" fillId="46" borderId="166" xfId="48236" applyFont="1" applyFill="1" applyBorder="1" applyAlignment="1">
      <alignment horizontal="center" vertical="top" wrapText="1"/>
    </xf>
    <xf numFmtId="0" fontId="0" fillId="0" borderId="6" xfId="0" applyBorder="1" applyAlignment="1">
      <alignment vertical="center"/>
    </xf>
    <xf numFmtId="0" fontId="0" fillId="0" borderId="6" xfId="0" applyBorder="1" applyAlignment="1">
      <alignment horizontal="left" vertical="top" wrapText="1" indent="1"/>
    </xf>
    <xf numFmtId="0" fontId="0" fillId="0" borderId="6" xfId="0" applyBorder="1" applyAlignment="1">
      <alignment horizontal="left" vertical="top"/>
    </xf>
    <xf numFmtId="0" fontId="0" fillId="0" borderId="6" xfId="0" applyBorder="1" applyAlignment="1">
      <alignment vertical="top" wrapText="1"/>
    </xf>
    <xf numFmtId="0" fontId="0" fillId="0" borderId="6" xfId="0" applyBorder="1" applyAlignment="1">
      <alignment vertical="top"/>
    </xf>
    <xf numFmtId="0" fontId="10" fillId="0" borderId="6" xfId="0" applyFont="1" applyBorder="1" applyAlignment="1">
      <alignment vertical="center" wrapText="1"/>
    </xf>
    <xf numFmtId="173" fontId="0" fillId="0" borderId="6" xfId="0" applyNumberFormat="1" applyBorder="1" applyAlignment="1">
      <alignment horizontal="center" vertical="center"/>
    </xf>
    <xf numFmtId="173" fontId="10" fillId="0" borderId="6" xfId="7" applyNumberFormat="1" applyFont="1" applyBorder="1" applyAlignment="1">
      <alignment horizontal="center" vertical="center"/>
    </xf>
    <xf numFmtId="173" fontId="0" fillId="0" borderId="117" xfId="0" applyNumberFormat="1" applyBorder="1" applyAlignment="1">
      <alignment horizontal="center" vertical="center"/>
    </xf>
    <xf numFmtId="0" fontId="247" fillId="0" borderId="0" xfId="0" applyFont="1" applyAlignment="1">
      <alignment horizontal="center" vertical="center"/>
    </xf>
    <xf numFmtId="3" fontId="10" fillId="0" borderId="6" xfId="89" applyNumberFormat="1" applyFont="1" applyBorder="1" applyAlignment="1">
      <alignment horizontal="left" indent="1"/>
    </xf>
    <xf numFmtId="0" fontId="11" fillId="0" borderId="6" xfId="7" applyFont="1" applyBorder="1" applyAlignment="1">
      <alignment horizontal="left" indent="1"/>
    </xf>
    <xf numFmtId="173" fontId="10" fillId="38" borderId="6" xfId="1" applyNumberFormat="1" applyFont="1" applyFill="1" applyBorder="1" applyAlignment="1">
      <alignment horizontal="right" vertical="center"/>
    </xf>
    <xf numFmtId="3" fontId="10" fillId="136" borderId="6" xfId="89" applyNumberFormat="1" applyFont="1" applyFill="1" applyBorder="1" applyAlignment="1">
      <alignment horizontal="left" indent="1"/>
    </xf>
    <xf numFmtId="179" fontId="10" fillId="136" borderId="6" xfId="89" applyNumberFormat="1" applyFont="1" applyFill="1" applyBorder="1" applyAlignment="1">
      <alignment horizontal="left" indent="1"/>
    </xf>
    <xf numFmtId="172" fontId="0" fillId="42" borderId="59" xfId="0" applyNumberFormat="1" applyFill="1" applyBorder="1" applyAlignment="1">
      <alignment horizontal="right" vertical="top"/>
    </xf>
    <xf numFmtId="164" fontId="0" fillId="0" borderId="0" xfId="0" applyNumberFormat="1"/>
    <xf numFmtId="0" fontId="272" fillId="0" borderId="0" xfId="0" applyFont="1"/>
    <xf numFmtId="0" fontId="272" fillId="0" borderId="0" xfId="0" applyFont="1" applyAlignment="1">
      <alignment horizontal="left" indent="1"/>
    </xf>
    <xf numFmtId="173" fontId="0" fillId="52" borderId="63" xfId="0" applyNumberFormat="1" applyFill="1" applyBorder="1" applyAlignment="1">
      <alignment horizontal="right" indent="1"/>
    </xf>
    <xf numFmtId="0" fontId="259" fillId="0" borderId="0" xfId="0" applyFont="1" applyAlignment="1">
      <alignment horizontal="left" indent="1"/>
    </xf>
    <xf numFmtId="0" fontId="25" fillId="0" borderId="0" xfId="75" applyFont="1" applyProtection="1">
      <protection locked="0"/>
    </xf>
    <xf numFmtId="0" fontId="25" fillId="0" borderId="0" xfId="75" applyFont="1" applyAlignment="1">
      <alignment horizontal="left" indent="1"/>
    </xf>
    <xf numFmtId="0" fontId="25" fillId="0" borderId="0" xfId="75" applyFont="1" applyAlignment="1">
      <alignment horizontal="left" vertical="center" indent="1"/>
    </xf>
    <xf numFmtId="0" fontId="10" fillId="0" borderId="0" xfId="7" applyFont="1" applyAlignment="1">
      <alignment horizontal="left" indent="1"/>
    </xf>
    <xf numFmtId="0" fontId="0" fillId="0" borderId="6" xfId="0" applyBorder="1" applyAlignment="1">
      <alignment horizontal="left" vertical="top" wrapText="1"/>
    </xf>
    <xf numFmtId="0" fontId="260" fillId="47" borderId="167" xfId="90" applyFont="1" applyFill="1" applyBorder="1" applyAlignment="1">
      <alignment horizontal="left"/>
    </xf>
    <xf numFmtId="0" fontId="0" fillId="52" borderId="167" xfId="0" applyFill="1" applyBorder="1" applyAlignment="1">
      <alignment horizontal="center" wrapText="1"/>
    </xf>
    <xf numFmtId="164" fontId="247" fillId="0" borderId="0" xfId="0" applyNumberFormat="1" applyFont="1"/>
    <xf numFmtId="0" fontId="259" fillId="47" borderId="115" xfId="0" applyFont="1" applyFill="1" applyBorder="1" applyAlignment="1">
      <alignment wrapText="1"/>
    </xf>
    <xf numFmtId="0" fontId="0" fillId="52" borderId="115" xfId="0" applyFill="1" applyBorder="1"/>
    <xf numFmtId="0" fontId="0" fillId="0" borderId="115" xfId="0" applyBorder="1" applyAlignment="1" applyProtection="1">
      <alignment horizontal="center" vertical="center"/>
      <protection locked="0"/>
    </xf>
    <xf numFmtId="0" fontId="260" fillId="47" borderId="162" xfId="90" applyFont="1" applyFill="1" applyBorder="1" applyAlignment="1" applyProtection="1">
      <alignment horizontal="left"/>
      <protection locked="0"/>
    </xf>
    <xf numFmtId="0" fontId="260" fillId="47" borderId="115" xfId="90" applyFont="1" applyFill="1" applyBorder="1" applyAlignment="1" applyProtection="1">
      <alignment horizontal="left" indent="1"/>
      <protection locked="0"/>
    </xf>
    <xf numFmtId="0" fontId="260" fillId="47" borderId="115" xfId="90" applyFont="1" applyFill="1" applyBorder="1" applyAlignment="1" applyProtection="1">
      <alignment horizontal="left"/>
      <protection locked="0"/>
    </xf>
    <xf numFmtId="0" fontId="30" fillId="47" borderId="115" xfId="90" applyFont="1" applyFill="1" applyBorder="1" applyAlignment="1" applyProtection="1">
      <alignment horizontal="left"/>
      <protection locked="0"/>
    </xf>
    <xf numFmtId="0" fontId="32" fillId="47" borderId="115" xfId="75" applyFont="1" applyFill="1" applyBorder="1" applyProtection="1">
      <protection locked="0"/>
    </xf>
    <xf numFmtId="0" fontId="260" fillId="47" borderId="167" xfId="90" applyFont="1" applyFill="1" applyBorder="1" applyAlignment="1" applyProtection="1">
      <alignment horizontal="left"/>
      <protection locked="0"/>
    </xf>
    <xf numFmtId="0" fontId="260" fillId="47" borderId="0" xfId="90" applyFont="1" applyFill="1" applyAlignment="1" applyProtection="1">
      <alignment horizontal="left" indent="1"/>
      <protection locked="0"/>
    </xf>
    <xf numFmtId="0" fontId="260" fillId="47" borderId="0" xfId="90" applyFont="1" applyFill="1" applyAlignment="1" applyProtection="1">
      <alignment horizontal="left"/>
      <protection locked="0"/>
    </xf>
    <xf numFmtId="0" fontId="30" fillId="47" borderId="0" xfId="90" applyFont="1" applyFill="1" applyAlignment="1" applyProtection="1">
      <alignment horizontal="left"/>
      <protection locked="0"/>
    </xf>
    <xf numFmtId="0" fontId="32" fillId="47" borderId="0" xfId="75" applyFont="1" applyFill="1" applyProtection="1">
      <protection locked="0"/>
    </xf>
    <xf numFmtId="0" fontId="32" fillId="47" borderId="11" xfId="75" applyFont="1" applyFill="1" applyBorder="1" applyProtection="1">
      <protection locked="0"/>
    </xf>
    <xf numFmtId="0" fontId="30" fillId="47" borderId="125" xfId="90" applyFont="1" applyFill="1" applyBorder="1" applyAlignment="1" applyProtection="1">
      <alignment horizontal="left"/>
      <protection locked="0"/>
    </xf>
    <xf numFmtId="0" fontId="32" fillId="47" borderId="125" xfId="75" applyFont="1" applyFill="1" applyBorder="1" applyProtection="1">
      <protection locked="0"/>
    </xf>
    <xf numFmtId="0" fontId="32" fillId="47" borderId="90" xfId="75" applyFont="1" applyFill="1" applyBorder="1" applyProtection="1">
      <protection locked="0"/>
    </xf>
    <xf numFmtId="0" fontId="0" fillId="0" borderId="71" xfId="0" applyBorder="1" applyAlignment="1" applyProtection="1">
      <alignment horizontal="center" vertical="top"/>
      <protection locked="0"/>
    </xf>
    <xf numFmtId="0" fontId="0" fillId="0" borderId="0" xfId="0" applyAlignment="1" applyProtection="1">
      <alignment horizontal="left" vertical="top"/>
      <protection locked="0"/>
    </xf>
    <xf numFmtId="0" fontId="8" fillId="2" borderId="71" xfId="0" applyFont="1" applyFill="1" applyBorder="1" applyAlignment="1" applyProtection="1">
      <alignment horizontal="center" vertical="center"/>
      <protection locked="0"/>
    </xf>
    <xf numFmtId="0" fontId="0" fillId="0" borderId="0" xfId="0" applyAlignment="1" applyProtection="1">
      <alignment vertical="center"/>
      <protection locked="0"/>
    </xf>
    <xf numFmtId="1" fontId="8" fillId="2" borderId="59" xfId="0" applyNumberFormat="1" applyFont="1" applyFill="1" applyBorder="1" applyAlignment="1" applyProtection="1">
      <alignment horizontal="center" vertical="center" wrapText="1"/>
      <protection locked="0"/>
    </xf>
    <xf numFmtId="1" fontId="8" fillId="2" borderId="59" xfId="0" applyNumberFormat="1" applyFont="1" applyFill="1" applyBorder="1" applyAlignment="1" applyProtection="1">
      <alignment horizontal="center" vertical="center"/>
      <protection locked="0"/>
    </xf>
    <xf numFmtId="0" fontId="0" fillId="53" borderId="0" xfId="0" applyFill="1" applyProtection="1">
      <protection locked="0"/>
    </xf>
    <xf numFmtId="0" fontId="0" fillId="0" borderId="0" xfId="0" applyAlignment="1" applyProtection="1">
      <alignment horizontal="right" vertical="top" indent="1"/>
      <protection locked="0"/>
    </xf>
    <xf numFmtId="0" fontId="29" fillId="0" borderId="0" xfId="0" applyFont="1" applyProtection="1">
      <protection locked="0"/>
    </xf>
    <xf numFmtId="0" fontId="0" fillId="51" borderId="0" xfId="0" applyFill="1" applyAlignment="1" applyProtection="1">
      <alignment horizontal="left" indent="1"/>
      <protection locked="0"/>
    </xf>
    <xf numFmtId="0" fontId="260" fillId="47" borderId="162" xfId="90" applyFont="1" applyFill="1" applyBorder="1" applyAlignment="1" applyProtection="1">
      <alignment horizontal="left"/>
    </xf>
    <xf numFmtId="0" fontId="260" fillId="47" borderId="115" xfId="90" applyFont="1" applyFill="1" applyBorder="1" applyAlignment="1" applyProtection="1">
      <alignment horizontal="left" indent="1"/>
    </xf>
    <xf numFmtId="0" fontId="260" fillId="47" borderId="115" xfId="90" applyFont="1" applyFill="1" applyBorder="1" applyAlignment="1" applyProtection="1">
      <alignment horizontal="left"/>
    </xf>
    <xf numFmtId="0" fontId="30" fillId="47" borderId="115" xfId="90" applyFont="1" applyFill="1" applyBorder="1" applyAlignment="1" applyProtection="1">
      <alignment horizontal="left"/>
    </xf>
    <xf numFmtId="0" fontId="32" fillId="47" borderId="115" xfId="75" applyFont="1" applyFill="1" applyBorder="1" applyProtection="1"/>
    <xf numFmtId="0" fontId="31" fillId="47" borderId="163" xfId="75" applyFont="1" applyFill="1" applyBorder="1" applyProtection="1"/>
    <xf numFmtId="0" fontId="0" fillId="0" borderId="0" xfId="0" applyProtection="1"/>
    <xf numFmtId="0" fontId="260" fillId="47" borderId="167" xfId="90" applyFont="1" applyFill="1" applyBorder="1" applyAlignment="1" applyProtection="1">
      <alignment horizontal="left"/>
    </xf>
    <xf numFmtId="0" fontId="260" fillId="47" borderId="0" xfId="90" applyFont="1" applyFill="1" applyAlignment="1" applyProtection="1">
      <alignment horizontal="left" indent="1"/>
    </xf>
    <xf numFmtId="0" fontId="260" fillId="47" borderId="0" xfId="90" applyFont="1" applyFill="1" applyAlignment="1" applyProtection="1">
      <alignment horizontal="left"/>
    </xf>
    <xf numFmtId="0" fontId="30" fillId="47" borderId="0" xfId="90" applyFont="1" applyFill="1" applyAlignment="1" applyProtection="1">
      <alignment horizontal="left"/>
    </xf>
    <xf numFmtId="0" fontId="32" fillId="47" borderId="0" xfId="75" applyFont="1" applyFill="1" applyProtection="1"/>
    <xf numFmtId="0" fontId="32" fillId="47" borderId="11" xfId="75" applyFont="1" applyFill="1" applyBorder="1" applyProtection="1"/>
    <xf numFmtId="0" fontId="30" fillId="47" borderId="125" xfId="90" applyFont="1" applyFill="1" applyBorder="1" applyAlignment="1" applyProtection="1">
      <alignment horizontal="left"/>
    </xf>
    <xf numFmtId="0" fontId="32" fillId="47" borderId="125" xfId="75" applyFont="1" applyFill="1" applyBorder="1" applyProtection="1"/>
    <xf numFmtId="0" fontId="32" fillId="47" borderId="90" xfId="75" applyFont="1" applyFill="1" applyBorder="1" applyProtection="1"/>
    <xf numFmtId="0" fontId="0" fillId="0" borderId="0" xfId="0" applyAlignment="1" applyProtection="1">
      <alignment horizontal="left" indent="1"/>
    </xf>
    <xf numFmtId="0" fontId="0" fillId="0" borderId="71" xfId="0" applyBorder="1" applyAlignment="1" applyProtection="1">
      <alignment horizontal="center" vertical="top"/>
    </xf>
    <xf numFmtId="0" fontId="0" fillId="0" borderId="0" xfId="0" applyAlignment="1" applyProtection="1">
      <alignment horizontal="left" vertical="top"/>
    </xf>
    <xf numFmtId="1" fontId="0" fillId="0" borderId="0" xfId="0" applyNumberFormat="1" applyAlignment="1" applyProtection="1">
      <alignment horizontal="right"/>
    </xf>
    <xf numFmtId="0" fontId="8" fillId="2" borderId="71" xfId="0" applyFont="1" applyFill="1" applyBorder="1" applyAlignment="1" applyProtection="1">
      <alignment horizontal="center" vertical="center"/>
    </xf>
    <xf numFmtId="0" fontId="0" fillId="0" borderId="0" xfId="0" applyAlignment="1" applyProtection="1">
      <alignment vertical="center"/>
    </xf>
    <xf numFmtId="1" fontId="8" fillId="2" borderId="59" xfId="0" applyNumberFormat="1" applyFont="1" applyFill="1" applyBorder="1" applyAlignment="1" applyProtection="1">
      <alignment horizontal="center" vertical="center" wrapText="1"/>
    </xf>
    <xf numFmtId="1" fontId="8" fillId="2" borderId="61" xfId="0" applyNumberFormat="1" applyFont="1" applyFill="1" applyBorder="1" applyAlignment="1" applyProtection="1">
      <alignment horizontal="center" vertical="center" wrapText="1"/>
    </xf>
    <xf numFmtId="1" fontId="8" fillId="2" borderId="59" xfId="0" applyNumberFormat="1" applyFont="1" applyFill="1" applyBorder="1" applyAlignment="1" applyProtection="1">
      <alignment horizontal="center" vertical="center"/>
    </xf>
    <xf numFmtId="0" fontId="8" fillId="53" borderId="0" xfId="0" applyFont="1" applyFill="1" applyAlignment="1" applyProtection="1">
      <alignment horizontal="left" vertical="center" indent="1"/>
    </xf>
    <xf numFmtId="0" fontId="0" fillId="53" borderId="0" xfId="0" applyFill="1" applyProtection="1"/>
    <xf numFmtId="0" fontId="0" fillId="53" borderId="0" xfId="0" applyFill="1" applyAlignment="1" applyProtection="1">
      <alignment vertical="center"/>
    </xf>
    <xf numFmtId="0" fontId="8" fillId="0" borderId="0" xfId="0" applyFont="1" applyAlignment="1" applyProtection="1">
      <alignment horizontal="left" vertical="center" indent="1"/>
    </xf>
    <xf numFmtId="170" fontId="0" fillId="0" borderId="0" xfId="0" applyNumberFormat="1" applyProtection="1"/>
    <xf numFmtId="0" fontId="0" fillId="0" borderId="0" xfId="0" applyAlignment="1" applyProtection="1">
      <alignment horizontal="right" vertical="top" indent="1"/>
    </xf>
    <xf numFmtId="170" fontId="10" fillId="38" borderId="119" xfId="77" applyNumberFormat="1" applyFont="1" applyFill="1" applyBorder="1" applyProtection="1"/>
    <xf numFmtId="170" fontId="8" fillId="0" borderId="0" xfId="0" applyNumberFormat="1" applyFont="1" applyProtection="1"/>
    <xf numFmtId="170" fontId="10" fillId="38" borderId="76" xfId="77" applyNumberFormat="1" applyFont="1" applyFill="1" applyBorder="1" applyProtection="1"/>
    <xf numFmtId="0" fontId="29" fillId="0" borderId="0" xfId="0" applyFont="1" applyProtection="1"/>
    <xf numFmtId="170" fontId="8" fillId="53" borderId="0" xfId="0" applyNumberFormat="1" applyFont="1" applyFill="1" applyProtection="1"/>
    <xf numFmtId="0" fontId="0" fillId="51" borderId="0" xfId="0" applyFill="1" applyAlignment="1" applyProtection="1">
      <alignment horizontal="left" indent="1"/>
    </xf>
    <xf numFmtId="1" fontId="0" fillId="51" borderId="11" xfId="0" applyNumberFormat="1" applyFill="1" applyBorder="1" applyAlignment="1" applyProtection="1">
      <alignment horizontal="center"/>
    </xf>
    <xf numFmtId="0" fontId="10" fillId="0" borderId="0" xfId="1" applyNumberFormat="1" applyFont="1" applyAlignment="1" applyProtection="1">
      <alignment horizontal="left" indent="1"/>
    </xf>
    <xf numFmtId="0" fontId="8" fillId="51" borderId="0" xfId="0" applyFont="1" applyFill="1" applyAlignment="1" applyProtection="1">
      <alignment horizontal="left" indent="1"/>
    </xf>
    <xf numFmtId="1" fontId="0" fillId="51" borderId="0" xfId="0" applyNumberFormat="1" applyFill="1" applyAlignment="1" applyProtection="1">
      <alignment horizontal="center"/>
    </xf>
    <xf numFmtId="0" fontId="8" fillId="0" borderId="0" xfId="0" applyFont="1" applyAlignment="1" applyProtection="1">
      <alignment horizontal="left" indent="1"/>
    </xf>
    <xf numFmtId="0" fontId="0" fillId="0" borderId="125" xfId="0" applyBorder="1" applyProtection="1"/>
    <xf numFmtId="0" fontId="10" fillId="51" borderId="0" xfId="0" applyFont="1" applyFill="1" applyAlignment="1" applyProtection="1">
      <alignment horizontal="left" indent="1"/>
    </xf>
    <xf numFmtId="0" fontId="259" fillId="47" borderId="115" xfId="0" applyFont="1" applyFill="1" applyBorder="1" applyAlignment="1" applyProtection="1">
      <alignment horizontal="left" indent="1"/>
      <protection locked="0"/>
    </xf>
    <xf numFmtId="0" fontId="0" fillId="47" borderId="115" xfId="0" applyFill="1" applyBorder="1" applyAlignment="1" applyProtection="1">
      <alignment horizontal="center" vertical="center"/>
      <protection locked="0"/>
    </xf>
    <xf numFmtId="0" fontId="0" fillId="47" borderId="115" xfId="0" applyFill="1" applyBorder="1" applyProtection="1">
      <protection locked="0"/>
    </xf>
    <xf numFmtId="0" fontId="0" fillId="47" borderId="163" xfId="0" applyFill="1" applyBorder="1" applyProtection="1">
      <protection locked="0"/>
    </xf>
    <xf numFmtId="0" fontId="30" fillId="47" borderId="0" xfId="90" applyFont="1" applyFill="1" applyAlignment="1" applyProtection="1">
      <alignment horizontal="center" vertical="center"/>
      <protection locked="0"/>
    </xf>
    <xf numFmtId="0" fontId="260" fillId="47" borderId="125" xfId="90" applyFont="1" applyFill="1" applyBorder="1" applyAlignment="1" applyProtection="1">
      <alignment horizontal="left" indent="1"/>
      <protection locked="0"/>
    </xf>
    <xf numFmtId="0" fontId="30" fillId="47" borderId="125" xfId="90" applyFont="1" applyFill="1" applyBorder="1" applyAlignment="1" applyProtection="1">
      <alignment horizontal="center" vertical="center"/>
      <protection locked="0"/>
    </xf>
    <xf numFmtId="0" fontId="0" fillId="0" borderId="0" xfId="0" applyAlignment="1" applyProtection="1">
      <alignment horizontal="left" vertical="top" indent="1"/>
      <protection locked="0"/>
    </xf>
    <xf numFmtId="173" fontId="8" fillId="0" borderId="0" xfId="0" applyNumberFormat="1" applyFont="1" applyAlignment="1" applyProtection="1">
      <alignment horizontal="center"/>
      <protection locked="0"/>
    </xf>
    <xf numFmtId="0" fontId="8" fillId="53" borderId="0" xfId="0" applyFont="1" applyFill="1" applyAlignment="1" applyProtection="1">
      <alignment horizontal="left" vertical="top" indent="1"/>
      <protection locked="0"/>
    </xf>
    <xf numFmtId="0" fontId="0" fillId="53" borderId="0" xfId="0" applyFill="1" applyAlignment="1" applyProtection="1">
      <alignment horizontal="center" vertical="center"/>
      <protection locked="0"/>
    </xf>
    <xf numFmtId="0" fontId="0" fillId="53" borderId="0" xfId="0" applyFill="1" applyAlignment="1" applyProtection="1">
      <alignment horizontal="left" vertical="top"/>
      <protection locked="0"/>
    </xf>
    <xf numFmtId="0" fontId="0" fillId="53" borderId="0" xfId="0" applyFill="1" applyAlignment="1" applyProtection="1">
      <alignment horizontal="center" vertical="top"/>
      <protection locked="0"/>
    </xf>
    <xf numFmtId="0" fontId="11" fillId="0" borderId="0" xfId="0" applyFont="1" applyAlignment="1" applyProtection="1">
      <alignment horizontal="left" vertical="top" indent="1"/>
      <protection locked="0"/>
    </xf>
    <xf numFmtId="0" fontId="8" fillId="0" borderId="0" xfId="0" applyFont="1" applyAlignment="1" applyProtection="1">
      <alignment horizontal="left" vertical="top" indent="1"/>
      <protection locked="0"/>
    </xf>
    <xf numFmtId="172" fontId="0" fillId="131" borderId="59" xfId="0" applyNumberFormat="1" applyFill="1" applyBorder="1" applyAlignment="1" applyProtection="1">
      <alignment horizontal="right" vertical="top"/>
      <protection locked="0"/>
    </xf>
    <xf numFmtId="173" fontId="0" fillId="0" borderId="0" xfId="0" applyNumberFormat="1" applyAlignment="1" applyProtection="1">
      <alignment horizontal="right"/>
      <protection locked="0"/>
    </xf>
    <xf numFmtId="173" fontId="8" fillId="0" borderId="0" xfId="0" applyNumberFormat="1" applyFont="1" applyAlignment="1" applyProtection="1">
      <alignment horizontal="right"/>
      <protection locked="0"/>
    </xf>
    <xf numFmtId="0" fontId="10" fillId="3" borderId="0" xfId="0" applyFont="1" applyFill="1" applyAlignment="1" applyProtection="1">
      <alignment horizontal="left" vertical="center" indent="1"/>
      <protection locked="0"/>
    </xf>
    <xf numFmtId="172" fontId="0" fillId="3" borderId="59" xfId="0" applyNumberFormat="1" applyFill="1" applyBorder="1" applyAlignment="1" applyProtection="1">
      <alignment horizontal="right" vertical="top"/>
      <protection locked="0"/>
    </xf>
    <xf numFmtId="0" fontId="0" fillId="3" borderId="0" xfId="0" applyFill="1" applyAlignment="1" applyProtection="1">
      <alignment horizontal="left" vertical="top" indent="1"/>
      <protection locked="0"/>
    </xf>
    <xf numFmtId="172" fontId="0" fillId="3" borderId="0" xfId="0" applyNumberFormat="1" applyFill="1" applyAlignment="1" applyProtection="1">
      <alignment horizontal="left" vertical="top"/>
      <protection locked="0"/>
    </xf>
    <xf numFmtId="0" fontId="268" fillId="0" borderId="0" xfId="0" applyFont="1" applyProtection="1">
      <protection locked="0"/>
    </xf>
    <xf numFmtId="1" fontId="8" fillId="0" borderId="0" xfId="0" applyNumberFormat="1" applyFont="1" applyAlignment="1" applyProtection="1">
      <alignment horizontal="right"/>
      <protection locked="0"/>
    </xf>
    <xf numFmtId="0" fontId="10" fillId="42" borderId="0" xfId="0" applyFont="1" applyFill="1" applyAlignment="1" applyProtection="1">
      <alignment horizontal="left" vertical="center" indent="1"/>
      <protection locked="0"/>
    </xf>
    <xf numFmtId="0" fontId="10" fillId="0" borderId="0" xfId="0" applyFont="1" applyAlignment="1" applyProtection="1">
      <alignment horizontal="left" vertical="center" indent="1"/>
      <protection locked="0"/>
    </xf>
    <xf numFmtId="1" fontId="8" fillId="0" borderId="0" xfId="0" applyNumberFormat="1" applyFont="1" applyAlignment="1" applyProtection="1">
      <alignment horizontal="center"/>
      <protection locked="0"/>
    </xf>
    <xf numFmtId="165" fontId="0" fillId="0" borderId="0" xfId="1" applyNumberFormat="1" applyFont="1" applyFill="1" applyBorder="1" applyAlignment="1" applyProtection="1">
      <alignment horizontal="right" vertical="top"/>
      <protection locked="0"/>
    </xf>
    <xf numFmtId="0" fontId="27" fillId="0" borderId="0" xfId="0" applyFont="1" applyAlignment="1" applyProtection="1">
      <alignment horizontal="left"/>
      <protection locked="0"/>
    </xf>
    <xf numFmtId="0" fontId="26" fillId="0" borderId="0" xfId="0" applyFont="1" applyProtection="1">
      <protection locked="0"/>
    </xf>
    <xf numFmtId="0" fontId="10" fillId="0" borderId="0" xfId="0" applyFont="1" applyProtection="1">
      <protection locked="0"/>
    </xf>
    <xf numFmtId="165" fontId="0" fillId="3" borderId="59" xfId="1" applyNumberFormat="1" applyFont="1" applyFill="1" applyBorder="1" applyAlignment="1" applyProtection="1">
      <alignment horizontal="right" vertical="top"/>
      <protection locked="0"/>
    </xf>
    <xf numFmtId="0" fontId="29" fillId="0" borderId="162" xfId="0" applyFont="1" applyBorder="1" applyProtection="1">
      <protection locked="0"/>
    </xf>
    <xf numFmtId="0" fontId="0" fillId="0" borderId="115" xfId="0" applyBorder="1" applyAlignment="1" applyProtection="1">
      <alignment horizontal="left" indent="1"/>
      <protection locked="0"/>
    </xf>
    <xf numFmtId="0" fontId="0" fillId="0" borderId="167" xfId="0" applyBorder="1" applyProtection="1">
      <protection locked="0"/>
    </xf>
    <xf numFmtId="165" fontId="11" fillId="0" borderId="0" xfId="1" applyNumberFormat="1" applyFont="1" applyFill="1" applyBorder="1" applyProtection="1">
      <protection locked="0"/>
    </xf>
    <xf numFmtId="165" fontId="11" fillId="0" borderId="11" xfId="1" applyNumberFormat="1" applyFont="1" applyFill="1" applyBorder="1" applyProtection="1">
      <protection locked="0"/>
    </xf>
    <xf numFmtId="0" fontId="29" fillId="0" borderId="167" xfId="0" applyFont="1" applyBorder="1" applyProtection="1">
      <protection locked="0"/>
    </xf>
    <xf numFmtId="0" fontId="0" fillId="0" borderId="167" xfId="0" applyBorder="1" applyAlignment="1" applyProtection="1">
      <alignment horizontal="left" vertical="top"/>
      <protection locked="0"/>
    </xf>
    <xf numFmtId="0" fontId="26" fillId="0" borderId="167" xfId="0" applyFont="1" applyBorder="1" applyProtection="1">
      <protection locked="0"/>
    </xf>
    <xf numFmtId="0" fontId="8" fillId="0" borderId="167" xfId="0" applyFont="1" applyBorder="1" applyProtection="1">
      <protection locked="0"/>
    </xf>
    <xf numFmtId="0" fontId="269" fillId="0" borderId="167" xfId="0" applyFont="1" applyBorder="1" applyProtection="1">
      <protection locked="0"/>
    </xf>
    <xf numFmtId="0" fontId="8" fillId="0" borderId="167" xfId="0" applyFont="1" applyBorder="1" applyAlignment="1" applyProtection="1">
      <alignment horizontal="left" vertical="top"/>
      <protection locked="0"/>
    </xf>
    <xf numFmtId="0" fontId="0" fillId="0" borderId="11" xfId="0" applyBorder="1" applyProtection="1">
      <protection locked="0"/>
    </xf>
    <xf numFmtId="0" fontId="8" fillId="0" borderId="89" xfId="0" applyFont="1" applyBorder="1" applyProtection="1">
      <protection locked="0"/>
    </xf>
    <xf numFmtId="0" fontId="0" fillId="0" borderId="125" xfId="0" applyBorder="1" applyAlignment="1" applyProtection="1">
      <alignment horizontal="left" indent="1"/>
      <protection locked="0"/>
    </xf>
    <xf numFmtId="0" fontId="0" fillId="0" borderId="0" xfId="0" quotePrefix="1" applyProtection="1">
      <protection locked="0"/>
    </xf>
    <xf numFmtId="0" fontId="8" fillId="0" borderId="0" xfId="0" applyFont="1" applyProtection="1">
      <protection locked="0"/>
    </xf>
    <xf numFmtId="0" fontId="0" fillId="3" borderId="115" xfId="0" applyFill="1" applyBorder="1" applyProtection="1">
      <protection locked="0"/>
    </xf>
    <xf numFmtId="0" fontId="0" fillId="3" borderId="163" xfId="0" applyFill="1" applyBorder="1" applyProtection="1">
      <protection locked="0"/>
    </xf>
    <xf numFmtId="0" fontId="0" fillId="3" borderId="167" xfId="0" applyFill="1" applyBorder="1" applyAlignment="1" applyProtection="1">
      <alignment horizontal="left" indent="1"/>
      <protection locked="0"/>
    </xf>
    <xf numFmtId="0" fontId="0" fillId="3" borderId="0" xfId="0" applyFill="1" applyAlignment="1" applyProtection="1">
      <alignment horizontal="left" indent="1"/>
      <protection locked="0"/>
    </xf>
    <xf numFmtId="0" fontId="0" fillId="3" borderId="0" xfId="0" applyFill="1" applyAlignment="1" applyProtection="1">
      <alignment horizontal="center" vertical="center"/>
      <protection locked="0"/>
    </xf>
    <xf numFmtId="0" fontId="0" fillId="3" borderId="0" xfId="0" applyFill="1" applyProtection="1">
      <protection locked="0"/>
    </xf>
    <xf numFmtId="0" fontId="0" fillId="3" borderId="11" xfId="0" applyFill="1" applyBorder="1" applyProtection="1">
      <protection locked="0"/>
    </xf>
    <xf numFmtId="0" fontId="0" fillId="3" borderId="89" xfId="0" applyFill="1" applyBorder="1" applyAlignment="1" applyProtection="1">
      <alignment horizontal="left" indent="1"/>
      <protection locked="0"/>
    </xf>
    <xf numFmtId="0" fontId="0" fillId="3" borderId="125" xfId="0" applyFill="1" applyBorder="1" applyAlignment="1" applyProtection="1">
      <alignment horizontal="left" indent="1"/>
      <protection locked="0"/>
    </xf>
    <xf numFmtId="0" fontId="0" fillId="3" borderId="125" xfId="0" applyFill="1" applyBorder="1" applyAlignment="1" applyProtection="1">
      <alignment horizontal="center" vertical="center"/>
      <protection locked="0"/>
    </xf>
    <xf numFmtId="0" fontId="0" fillId="3" borderId="125" xfId="0" applyFill="1" applyBorder="1" applyProtection="1">
      <protection locked="0"/>
    </xf>
    <xf numFmtId="0" fontId="0" fillId="3" borderId="90" xfId="0" applyFill="1" applyBorder="1" applyProtection="1">
      <protection locked="0"/>
    </xf>
    <xf numFmtId="172" fontId="8" fillId="52" borderId="71" xfId="0" applyNumberFormat="1" applyFont="1" applyFill="1" applyBorder="1" applyAlignment="1" applyProtection="1">
      <alignment horizontal="right"/>
    </xf>
    <xf numFmtId="172" fontId="0" fillId="52" borderId="59" xfId="0" applyNumberFormat="1" applyFill="1" applyBorder="1" applyAlignment="1" applyProtection="1">
      <alignment horizontal="right" vertical="top"/>
    </xf>
    <xf numFmtId="173" fontId="0" fillId="54" borderId="71" xfId="0" applyNumberFormat="1" applyFill="1" applyBorder="1" applyAlignment="1" applyProtection="1">
      <alignment horizontal="right"/>
    </xf>
    <xf numFmtId="165" fontId="8" fillId="51" borderId="59" xfId="1" applyNumberFormat="1" applyFont="1" applyFill="1" applyBorder="1" applyAlignment="1" applyProtection="1">
      <alignment horizontal="right" vertical="top"/>
    </xf>
    <xf numFmtId="165" fontId="10" fillId="51" borderId="6" xfId="1" applyNumberFormat="1" applyFont="1" applyFill="1" applyBorder="1" applyProtection="1"/>
    <xf numFmtId="165" fontId="0" fillId="51" borderId="59" xfId="1" applyNumberFormat="1" applyFont="1" applyFill="1" applyBorder="1" applyAlignment="1" applyProtection="1">
      <alignment horizontal="right" vertical="top"/>
    </xf>
    <xf numFmtId="0" fontId="10" fillId="54" borderId="6" xfId="75" applyFont="1" applyFill="1" applyBorder="1" applyAlignment="1" applyProtection="1">
      <alignment horizontal="center" vertical="center"/>
    </xf>
    <xf numFmtId="351" fontId="0" fillId="52" borderId="6" xfId="0" applyNumberFormat="1" applyFill="1" applyBorder="1" applyProtection="1"/>
    <xf numFmtId="165" fontId="10" fillId="38" borderId="6" xfId="1" applyNumberFormat="1" applyFont="1" applyFill="1" applyBorder="1" applyProtection="1"/>
    <xf numFmtId="165" fontId="11" fillId="38" borderId="6" xfId="1" applyNumberFormat="1" applyFont="1" applyFill="1" applyBorder="1" applyProtection="1"/>
    <xf numFmtId="172" fontId="0" fillId="51" borderId="59" xfId="0" applyNumberFormat="1" applyFill="1" applyBorder="1" applyAlignment="1" applyProtection="1">
      <alignment horizontal="right" vertical="top"/>
    </xf>
    <xf numFmtId="165" fontId="11" fillId="38" borderId="11" xfId="1" applyNumberFormat="1" applyFont="1" applyFill="1" applyBorder="1" applyProtection="1"/>
    <xf numFmtId="165" fontId="11" fillId="52" borderId="6" xfId="1" applyNumberFormat="1" applyFont="1" applyFill="1" applyBorder="1" applyProtection="1"/>
    <xf numFmtId="0" fontId="30" fillId="47" borderId="115" xfId="90" applyFont="1" applyFill="1" applyBorder="1" applyAlignment="1" applyProtection="1">
      <alignment horizontal="center" vertical="center"/>
      <protection locked="0"/>
    </xf>
    <xf numFmtId="0" fontId="32" fillId="47" borderId="163" xfId="75" applyFont="1" applyFill="1" applyBorder="1" applyProtection="1">
      <protection locked="0"/>
    </xf>
    <xf numFmtId="1" fontId="8" fillId="2" borderId="71" xfId="0" applyNumberFormat="1" applyFont="1" applyFill="1" applyBorder="1" applyAlignment="1" applyProtection="1">
      <alignment horizontal="center" vertical="center"/>
      <protection locked="0"/>
    </xf>
    <xf numFmtId="1" fontId="8" fillId="2" borderId="72" xfId="0" applyNumberFormat="1" applyFont="1" applyFill="1" applyBorder="1" applyAlignment="1" applyProtection="1">
      <alignment horizontal="center" vertical="center"/>
      <protection locked="0"/>
    </xf>
    <xf numFmtId="1" fontId="8" fillId="2" borderId="73" xfId="0" applyNumberFormat="1" applyFont="1" applyFill="1" applyBorder="1" applyAlignment="1" applyProtection="1">
      <alignment horizontal="center" wrapText="1"/>
      <protection locked="0"/>
    </xf>
    <xf numFmtId="0" fontId="8" fillId="116" borderId="0" xfId="0" applyFont="1" applyFill="1" applyAlignment="1" applyProtection="1">
      <alignment horizontal="left" vertical="center"/>
      <protection locked="0"/>
    </xf>
    <xf numFmtId="0" fontId="0" fillId="116" borderId="0" xfId="0" applyFill="1" applyAlignment="1" applyProtection="1">
      <alignment horizontal="center" vertical="center"/>
      <protection locked="0"/>
    </xf>
    <xf numFmtId="0" fontId="0" fillId="116" borderId="0" xfId="0" applyFill="1" applyAlignment="1" applyProtection="1">
      <alignment horizontal="center" vertical="top"/>
      <protection locked="0"/>
    </xf>
    <xf numFmtId="0" fontId="269" fillId="116" borderId="0" xfId="0" applyFont="1" applyFill="1" applyAlignment="1" applyProtection="1">
      <alignment horizontal="left" vertical="top"/>
      <protection locked="0"/>
    </xf>
    <xf numFmtId="0" fontId="0" fillId="116" borderId="0" xfId="0" applyFill="1" applyAlignment="1" applyProtection="1">
      <alignment horizontal="left" vertical="top" indent="1"/>
      <protection locked="0"/>
    </xf>
    <xf numFmtId="0" fontId="8" fillId="52" borderId="0" xfId="0" applyFont="1" applyFill="1" applyAlignment="1" applyProtection="1">
      <alignment horizontal="left" vertical="top" indent="1"/>
      <protection locked="0"/>
    </xf>
    <xf numFmtId="0" fontId="0" fillId="133" borderId="0" xfId="0" applyFill="1" applyAlignment="1" applyProtection="1">
      <alignment horizontal="center" vertical="center"/>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wrapText="1"/>
      <protection locked="0"/>
    </xf>
    <xf numFmtId="172" fontId="0" fillId="131" borderId="63" xfId="0" applyNumberFormat="1" applyFill="1" applyBorder="1" applyAlignment="1" applyProtection="1">
      <alignment horizontal="right" vertical="top"/>
      <protection locked="0"/>
    </xf>
    <xf numFmtId="0" fontId="0" fillId="0" borderId="0" xfId="0" applyAlignment="1" applyProtection="1">
      <alignment horizontal="left" vertical="top" wrapText="1" indent="1"/>
      <protection locked="0"/>
    </xf>
    <xf numFmtId="165" fontId="0" fillId="0" borderId="0" xfId="0" applyNumberFormat="1" applyAlignment="1" applyProtection="1">
      <alignment horizontal="left" vertical="top"/>
      <protection locked="0"/>
    </xf>
    <xf numFmtId="0" fontId="0" fillId="0" borderId="0" xfId="0" applyAlignment="1" applyProtection="1">
      <alignment horizontal="center" wrapText="1"/>
      <protection locked="0"/>
    </xf>
    <xf numFmtId="0" fontId="42" fillId="0" borderId="0" xfId="0" applyFont="1" applyAlignment="1" applyProtection="1">
      <alignment horizontal="center"/>
      <protection locked="0"/>
    </xf>
    <xf numFmtId="10" fontId="0" fillId="0" borderId="0" xfId="0" applyNumberFormat="1" applyAlignment="1" applyProtection="1">
      <alignment horizontal="right" vertical="top"/>
      <protection locked="0"/>
    </xf>
    <xf numFmtId="172" fontId="0" fillId="3" borderId="63" xfId="0" applyNumberFormat="1" applyFill="1" applyBorder="1" applyAlignment="1" applyProtection="1">
      <alignment horizontal="right" vertical="top"/>
      <protection locked="0"/>
    </xf>
    <xf numFmtId="0" fontId="8" fillId="0" borderId="0" xfId="0" applyFont="1" applyAlignment="1" applyProtection="1">
      <alignment horizontal="center" vertical="center" wrapText="1"/>
      <protection locked="0"/>
    </xf>
    <xf numFmtId="0" fontId="8" fillId="133" borderId="0" xfId="0" applyFont="1" applyFill="1" applyAlignment="1" applyProtection="1">
      <alignment horizontal="left" vertical="top" indent="1"/>
      <protection locked="0"/>
    </xf>
    <xf numFmtId="0" fontId="0" fillId="0" borderId="0" xfId="0" applyAlignment="1" applyProtection="1">
      <alignment horizontal="center" vertical="top" wrapText="1"/>
      <protection locked="0"/>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72" xfId="0" applyBorder="1" applyAlignment="1" applyProtection="1">
      <alignment horizontal="center" vertical="top"/>
      <protection locked="0"/>
    </xf>
    <xf numFmtId="0" fontId="8" fillId="0" borderId="0" xfId="0" applyFont="1" applyAlignment="1" applyProtection="1">
      <alignment horizontal="left" vertical="top"/>
      <protection locked="0"/>
    </xf>
    <xf numFmtId="172" fontId="0" fillId="3" borderId="62" xfId="0" applyNumberFormat="1" applyFill="1" applyBorder="1" applyAlignment="1" applyProtection="1">
      <alignment horizontal="right" vertical="top"/>
      <protection locked="0"/>
    </xf>
    <xf numFmtId="172" fontId="0" fillId="3" borderId="65" xfId="0" applyNumberFormat="1" applyFill="1" applyBorder="1" applyAlignment="1" applyProtection="1">
      <alignment horizontal="right" vertical="top"/>
      <protection locked="0"/>
    </xf>
    <xf numFmtId="172" fontId="0" fillId="3" borderId="66" xfId="0" applyNumberFormat="1" applyFill="1" applyBorder="1" applyAlignment="1" applyProtection="1">
      <alignment horizontal="right" vertical="top"/>
      <protection locked="0"/>
    </xf>
    <xf numFmtId="172" fontId="0" fillId="3" borderId="60" xfId="0" applyNumberFormat="1" applyFill="1" applyBorder="1" applyAlignment="1" applyProtection="1">
      <alignment horizontal="right" vertical="top"/>
      <protection locked="0"/>
    </xf>
    <xf numFmtId="172" fontId="0" fillId="3" borderId="68" xfId="0" applyNumberFormat="1" applyFill="1" applyBorder="1" applyAlignment="1" applyProtection="1">
      <alignment horizontal="right" vertical="top"/>
      <protection locked="0"/>
    </xf>
    <xf numFmtId="172" fontId="0" fillId="3" borderId="69" xfId="0" applyNumberFormat="1" applyFill="1" applyBorder="1" applyAlignment="1" applyProtection="1">
      <alignment horizontal="right" vertical="top"/>
      <protection locked="0"/>
    </xf>
    <xf numFmtId="0" fontId="0" fillId="0" borderId="0" xfId="0" applyAlignment="1" applyProtection="1">
      <alignment horizontal="left"/>
      <protection locked="0"/>
    </xf>
    <xf numFmtId="172" fontId="0" fillId="3" borderId="61" xfId="0" applyNumberFormat="1" applyFill="1" applyBorder="1" applyAlignment="1" applyProtection="1">
      <alignment horizontal="right" vertical="top"/>
      <protection locked="0"/>
    </xf>
    <xf numFmtId="172" fontId="0" fillId="3" borderId="64" xfId="0" applyNumberFormat="1" applyFill="1" applyBorder="1" applyAlignment="1" applyProtection="1">
      <alignment horizontal="right" vertical="top"/>
      <protection locked="0"/>
    </xf>
    <xf numFmtId="172" fontId="0" fillId="3" borderId="67" xfId="0" applyNumberFormat="1" applyFill="1" applyBorder="1" applyAlignment="1" applyProtection="1">
      <alignment horizontal="right" vertical="top"/>
      <protection locked="0"/>
    </xf>
    <xf numFmtId="0" fontId="8" fillId="0" borderId="0" xfId="0" applyFont="1" applyAlignment="1" applyProtection="1">
      <alignment horizontal="left"/>
      <protection locked="0"/>
    </xf>
    <xf numFmtId="173" fontId="0" fillId="0" borderId="0" xfId="0" applyNumberFormat="1" applyAlignment="1" applyProtection="1">
      <alignment horizontal="right" vertical="top"/>
      <protection locked="0"/>
    </xf>
    <xf numFmtId="0" fontId="26" fillId="0" borderId="0" xfId="0" applyFont="1" applyAlignment="1" applyProtection="1">
      <alignment horizontal="left" vertical="top"/>
      <protection locked="0"/>
    </xf>
    <xf numFmtId="172" fontId="0" fillId="3" borderId="6" xfId="0" applyNumberFormat="1" applyFill="1" applyBorder="1" applyAlignment="1" applyProtection="1">
      <alignment horizontal="right" vertical="top"/>
      <protection locked="0"/>
    </xf>
    <xf numFmtId="172" fontId="0" fillId="131" borderId="69" xfId="0" applyNumberFormat="1" applyFill="1" applyBorder="1" applyAlignment="1" applyProtection="1">
      <alignment horizontal="right" vertical="top"/>
      <protection locked="0"/>
    </xf>
    <xf numFmtId="172" fontId="0" fillId="52" borderId="63" xfId="0" applyNumberFormat="1" applyFill="1" applyBorder="1" applyAlignment="1" applyProtection="1">
      <alignment horizontal="right" vertical="top"/>
    </xf>
    <xf numFmtId="165" fontId="10" fillId="52" borderId="59" xfId="2" applyNumberFormat="1" applyFont="1" applyFill="1" applyBorder="1" applyAlignment="1" applyProtection="1">
      <alignment vertical="center"/>
    </xf>
    <xf numFmtId="165" fontId="10" fillId="52" borderId="61" xfId="2" applyNumberFormat="1" applyFont="1" applyFill="1" applyBorder="1" applyAlignment="1" applyProtection="1">
      <alignment vertical="center"/>
    </xf>
    <xf numFmtId="165" fontId="10" fillId="52" borderId="68" xfId="2" applyNumberFormat="1" applyFont="1" applyFill="1" applyBorder="1" applyAlignment="1" applyProtection="1">
      <alignment vertical="center"/>
    </xf>
    <xf numFmtId="165" fontId="10" fillId="52" borderId="70" xfId="2" applyNumberFormat="1" applyFont="1" applyFill="1" applyBorder="1" applyAlignment="1" applyProtection="1">
      <alignment vertical="center"/>
    </xf>
    <xf numFmtId="10" fontId="0" fillId="51" borderId="72" xfId="0" applyNumberFormat="1" applyFill="1" applyBorder="1" applyAlignment="1" applyProtection="1">
      <alignment horizontal="right" vertical="top"/>
    </xf>
    <xf numFmtId="172" fontId="10" fillId="52" borderId="100" xfId="2" applyNumberFormat="1" applyFont="1" applyFill="1" applyBorder="1" applyAlignment="1" applyProtection="1">
      <alignment vertical="center"/>
    </xf>
    <xf numFmtId="172" fontId="10" fillId="52" borderId="78" xfId="2" applyNumberFormat="1" applyFont="1" applyFill="1" applyBorder="1" applyAlignment="1" applyProtection="1">
      <alignment vertical="center"/>
    </xf>
    <xf numFmtId="172" fontId="10" fillId="52" borderId="101" xfId="2" applyNumberFormat="1" applyFont="1" applyFill="1" applyBorder="1" applyAlignment="1" applyProtection="1">
      <alignment vertical="center"/>
    </xf>
    <xf numFmtId="172" fontId="10" fillId="52" borderId="106" xfId="2" applyNumberFormat="1" applyFont="1" applyFill="1" applyBorder="1" applyAlignment="1" applyProtection="1">
      <alignment vertical="center"/>
    </xf>
    <xf numFmtId="10" fontId="0" fillId="51" borderId="71" xfId="0" applyNumberFormat="1" applyFill="1" applyBorder="1" applyAlignment="1" applyProtection="1">
      <alignment horizontal="right" vertical="top"/>
    </xf>
    <xf numFmtId="172" fontId="10" fillId="52" borderId="101" xfId="2" applyNumberFormat="1" applyFont="1" applyFill="1" applyBorder="1" applyAlignment="1" applyProtection="1">
      <alignment vertical="top"/>
    </xf>
    <xf numFmtId="172" fontId="10" fillId="52" borderId="106" xfId="2" applyNumberFormat="1" applyFont="1" applyFill="1" applyBorder="1" applyAlignment="1" applyProtection="1">
      <alignment vertical="top"/>
    </xf>
    <xf numFmtId="172" fontId="8" fillId="52" borderId="71" xfId="0" applyNumberFormat="1" applyFont="1" applyFill="1" applyBorder="1" applyAlignment="1" applyProtection="1">
      <alignment horizontal="right" vertical="top"/>
    </xf>
    <xf numFmtId="172" fontId="0" fillId="52" borderId="72" xfId="0" applyNumberFormat="1" applyFill="1" applyBorder="1" applyAlignment="1" applyProtection="1">
      <alignment horizontal="right" vertical="top"/>
    </xf>
    <xf numFmtId="172" fontId="0" fillId="52" borderId="73" xfId="0" applyNumberFormat="1" applyFill="1" applyBorder="1" applyAlignment="1" applyProtection="1">
      <alignment horizontal="right" vertical="top"/>
    </xf>
    <xf numFmtId="172" fontId="0" fillId="52" borderId="84" xfId="0" applyNumberFormat="1" applyFill="1" applyBorder="1" applyAlignment="1" applyProtection="1">
      <alignment horizontal="right" vertical="top"/>
    </xf>
    <xf numFmtId="172" fontId="0" fillId="52" borderId="6" xfId="0" applyNumberFormat="1" applyFill="1" applyBorder="1" applyAlignment="1" applyProtection="1">
      <alignment horizontal="right" vertical="top"/>
    </xf>
    <xf numFmtId="172" fontId="0" fillId="52" borderId="69" xfId="0" applyNumberFormat="1" applyFill="1" applyBorder="1" applyAlignment="1" applyProtection="1">
      <alignment horizontal="right" vertical="top"/>
    </xf>
    <xf numFmtId="172" fontId="0" fillId="52" borderId="122" xfId="0" applyNumberFormat="1" applyFill="1" applyBorder="1" applyAlignment="1" applyProtection="1">
      <alignment horizontal="right" vertical="top"/>
    </xf>
    <xf numFmtId="172" fontId="0" fillId="52" borderId="124" xfId="0" applyNumberFormat="1" applyFill="1" applyBorder="1" applyAlignment="1" applyProtection="1">
      <alignment horizontal="right" vertical="top"/>
    </xf>
    <xf numFmtId="172" fontId="0" fillId="52" borderId="123" xfId="0" applyNumberFormat="1" applyFill="1" applyBorder="1" applyAlignment="1" applyProtection="1">
      <alignment horizontal="right" vertical="top"/>
    </xf>
    <xf numFmtId="165" fontId="10" fillId="52" borderId="6" xfId="1" applyNumberFormat="1" applyFont="1" applyFill="1" applyBorder="1" applyProtection="1"/>
    <xf numFmtId="172" fontId="0" fillId="54" borderId="71" xfId="0" applyNumberFormat="1" applyFill="1" applyBorder="1" applyAlignment="1" applyProtection="1">
      <alignment horizontal="right" vertical="top"/>
    </xf>
    <xf numFmtId="172" fontId="0" fillId="51" borderId="63" xfId="0" applyNumberFormat="1" applyFill="1" applyBorder="1" applyAlignment="1" applyProtection="1">
      <alignment horizontal="right" vertical="top"/>
    </xf>
    <xf numFmtId="172" fontId="0" fillId="51" borderId="93" xfId="0" applyNumberFormat="1" applyFill="1" applyBorder="1" applyAlignment="1" applyProtection="1">
      <alignment horizontal="right" vertical="top"/>
    </xf>
    <xf numFmtId="0" fontId="0" fillId="52" borderId="102" xfId="0" applyFill="1" applyBorder="1" applyAlignment="1" applyProtection="1">
      <alignment horizontal="right" vertical="top"/>
    </xf>
    <xf numFmtId="0" fontId="262" fillId="47" borderId="162" xfId="90" applyFont="1" applyFill="1" applyBorder="1" applyAlignment="1" applyProtection="1">
      <alignment horizontal="left"/>
      <protection locked="0"/>
    </xf>
    <xf numFmtId="0" fontId="263" fillId="47" borderId="115" xfId="90" applyFont="1" applyFill="1" applyBorder="1" applyAlignment="1" applyProtection="1">
      <alignment horizontal="left"/>
      <protection locked="0"/>
    </xf>
    <xf numFmtId="0" fontId="35" fillId="47" borderId="115" xfId="90" applyFont="1" applyFill="1" applyBorder="1" applyAlignment="1" applyProtection="1">
      <alignment horizontal="center" vertical="center"/>
      <protection locked="0"/>
    </xf>
    <xf numFmtId="0" fontId="35" fillId="47" borderId="115" xfId="90" applyFont="1" applyFill="1" applyBorder="1" applyAlignment="1" applyProtection="1">
      <alignment horizontal="left"/>
      <protection locked="0"/>
    </xf>
    <xf numFmtId="0" fontId="263" fillId="47" borderId="0" xfId="90" applyFont="1" applyFill="1" applyAlignment="1" applyProtection="1">
      <alignment horizontal="left"/>
      <protection locked="0"/>
    </xf>
    <xf numFmtId="0" fontId="35" fillId="47" borderId="0" xfId="90" applyFont="1" applyFill="1" applyAlignment="1" applyProtection="1">
      <alignment horizontal="center" vertical="center"/>
      <protection locked="0"/>
    </xf>
    <xf numFmtId="0" fontId="35" fillId="47" borderId="0" xfId="90" applyFont="1" applyFill="1" applyAlignment="1" applyProtection="1">
      <alignment horizontal="left"/>
      <protection locked="0"/>
    </xf>
    <xf numFmtId="0" fontId="35" fillId="47" borderId="125" xfId="90" applyFont="1" applyFill="1" applyBorder="1" applyAlignment="1" applyProtection="1">
      <alignment horizontal="center" vertical="center"/>
      <protection locked="0"/>
    </xf>
    <xf numFmtId="0" fontId="35" fillId="47" borderId="125" xfId="90" applyFont="1" applyFill="1" applyBorder="1" applyAlignment="1" applyProtection="1">
      <alignment horizontal="left"/>
      <protection locked="0"/>
    </xf>
    <xf numFmtId="0" fontId="267" fillId="53" borderId="0" xfId="0" applyFont="1" applyFill="1" applyAlignment="1" applyProtection="1">
      <alignment horizontal="left" vertical="top"/>
      <protection locked="0"/>
    </xf>
    <xf numFmtId="2" fontId="10" fillId="131" borderId="6" xfId="75" applyNumberFormat="1" applyFont="1" applyFill="1" applyBorder="1" applyProtection="1">
      <protection locked="0"/>
    </xf>
    <xf numFmtId="0" fontId="265" fillId="0" borderId="0" xfId="0" applyFont="1" applyAlignment="1" applyProtection="1">
      <alignment horizontal="left"/>
      <protection locked="0"/>
    </xf>
    <xf numFmtId="3" fontId="0" fillId="51" borderId="0" xfId="0" applyNumberFormat="1" applyFill="1" applyAlignment="1" applyProtection="1">
      <alignment horizontal="left" vertical="top"/>
      <protection locked="0"/>
    </xf>
    <xf numFmtId="2" fontId="10" fillId="40" borderId="6" xfId="75" applyNumberFormat="1" applyFont="1" applyFill="1" applyBorder="1" applyProtection="1">
      <protection locked="0"/>
    </xf>
    <xf numFmtId="0" fontId="0" fillId="42" borderId="0" xfId="0" applyFill="1" applyAlignment="1" applyProtection="1">
      <alignment horizontal="right" vertical="top" indent="1"/>
      <protection locked="0"/>
    </xf>
    <xf numFmtId="0" fontId="0" fillId="42" borderId="0" xfId="0" applyFill="1" applyAlignment="1" applyProtection="1">
      <alignment horizontal="left" vertical="top"/>
      <protection locked="0"/>
    </xf>
    <xf numFmtId="0" fontId="0" fillId="3" borderId="0" xfId="0" applyFill="1" applyAlignment="1" applyProtection="1">
      <alignment horizontal="left" vertical="top"/>
      <protection locked="0"/>
    </xf>
    <xf numFmtId="0" fontId="8" fillId="3" borderId="0" xfId="0" applyFont="1" applyFill="1" applyAlignment="1" applyProtection="1">
      <alignment horizontal="left" vertical="top"/>
      <protection locked="0"/>
    </xf>
    <xf numFmtId="0" fontId="8" fillId="3" borderId="0" xfId="0" applyFont="1" applyFill="1" applyAlignment="1" applyProtection="1">
      <alignment horizontal="center" vertical="center" wrapText="1"/>
      <protection locked="0"/>
    </xf>
    <xf numFmtId="0" fontId="0" fillId="3" borderId="0" xfId="0" applyFill="1" applyAlignment="1" applyProtection="1">
      <alignment horizontal="right" vertical="top"/>
      <protection locked="0"/>
    </xf>
    <xf numFmtId="0" fontId="265" fillId="0" borderId="0" xfId="0" applyFont="1" applyAlignment="1" applyProtection="1">
      <alignment horizontal="left" vertical="top"/>
      <protection locked="0"/>
    </xf>
    <xf numFmtId="172" fontId="0" fillId="131" borderId="62" xfId="0" applyNumberFormat="1" applyFill="1" applyBorder="1" applyAlignment="1" applyProtection="1">
      <alignment horizontal="right" vertical="top"/>
      <protection locked="0"/>
    </xf>
    <xf numFmtId="172" fontId="0" fillId="0" borderId="0" xfId="0" applyNumberFormat="1" applyAlignment="1" applyProtection="1">
      <alignment horizontal="right" vertical="top"/>
      <protection locked="0"/>
    </xf>
    <xf numFmtId="0" fontId="25" fillId="41" borderId="6" xfId="75" applyFont="1" applyFill="1" applyBorder="1" applyProtection="1">
      <protection locked="0"/>
    </xf>
    <xf numFmtId="0" fontId="0" fillId="0" borderId="0" xfId="0" applyAlignment="1" applyProtection="1">
      <alignment horizontal="right"/>
      <protection locked="0"/>
    </xf>
    <xf numFmtId="168" fontId="37" fillId="48" borderId="0" xfId="94" applyProtection="1">
      <alignment vertical="center"/>
      <protection locked="0"/>
    </xf>
    <xf numFmtId="168" fontId="271" fillId="48" borderId="0" xfId="94" applyFont="1" applyProtection="1">
      <alignment vertical="center"/>
      <protection locked="0"/>
    </xf>
    <xf numFmtId="0" fontId="269" fillId="0" borderId="0" xfId="0" applyFont="1" applyAlignment="1" applyProtection="1">
      <alignment horizontal="left" vertical="top"/>
      <protection locked="0"/>
    </xf>
    <xf numFmtId="0" fontId="0" fillId="51" borderId="0" xfId="0" applyFill="1" applyAlignment="1" applyProtection="1">
      <alignment horizontal="left" vertical="top"/>
      <protection locked="0"/>
    </xf>
    <xf numFmtId="172" fontId="8" fillId="52" borderId="72" xfId="0" applyNumberFormat="1" applyFont="1" applyFill="1" applyBorder="1" applyAlignment="1" applyProtection="1">
      <alignment horizontal="right" vertical="top"/>
    </xf>
    <xf numFmtId="172" fontId="0" fillId="52" borderId="71" xfId="0" applyNumberFormat="1" applyFill="1" applyBorder="1" applyAlignment="1" applyProtection="1">
      <alignment horizontal="right" vertical="top"/>
    </xf>
    <xf numFmtId="0" fontId="260" fillId="47" borderId="125" xfId="90" applyFont="1" applyFill="1" applyBorder="1" applyAlignment="1" applyProtection="1">
      <alignment horizontal="left"/>
      <protection locked="0"/>
    </xf>
    <xf numFmtId="0" fontId="262" fillId="47" borderId="125" xfId="90" applyFont="1" applyFill="1" applyBorder="1" applyAlignment="1" applyProtection="1">
      <alignment horizontal="left"/>
      <protection locked="0"/>
    </xf>
    <xf numFmtId="0" fontId="30" fillId="0" borderId="0" xfId="90" applyFont="1" applyAlignment="1" applyProtection="1">
      <alignment horizontal="left"/>
      <protection locked="0"/>
    </xf>
    <xf numFmtId="0" fontId="32" fillId="0" borderId="0" xfId="75" applyFont="1" applyProtection="1">
      <protection locked="0"/>
    </xf>
    <xf numFmtId="1" fontId="8" fillId="2" borderId="73" xfId="0" applyNumberFormat="1" applyFont="1" applyFill="1" applyBorder="1" applyAlignment="1" applyProtection="1">
      <alignment horizontal="center" vertical="center"/>
      <protection locked="0"/>
    </xf>
    <xf numFmtId="1" fontId="8" fillId="2" borderId="85" xfId="0" applyNumberFormat="1" applyFont="1" applyFill="1" applyBorder="1" applyAlignment="1" applyProtection="1">
      <alignment horizontal="center" vertical="center" wrapText="1"/>
      <protection locked="0"/>
    </xf>
    <xf numFmtId="1" fontId="8" fillId="2" borderId="73" xfId="0" applyNumberFormat="1" applyFont="1" applyFill="1" applyBorder="1" applyAlignment="1" applyProtection="1">
      <alignment horizontal="center" vertical="center" wrapText="1"/>
      <protection locked="0"/>
    </xf>
    <xf numFmtId="1" fontId="8" fillId="2" borderId="6" xfId="0" applyNumberFormat="1" applyFont="1" applyFill="1" applyBorder="1" applyAlignment="1" applyProtection="1">
      <alignment horizontal="center" vertical="center"/>
      <protection locked="0"/>
    </xf>
    <xf numFmtId="168" fontId="11" fillId="0" borderId="0" xfId="0" applyNumberFormat="1" applyFont="1" applyAlignment="1" applyProtection="1">
      <alignment horizontal="left" vertical="center"/>
      <protection locked="0"/>
    </xf>
    <xf numFmtId="0" fontId="27" fillId="0" borderId="0" xfId="0" applyFont="1" applyProtection="1">
      <protection locked="0"/>
    </xf>
    <xf numFmtId="173" fontId="0" fillId="0" borderId="0" xfId="0" applyNumberFormat="1" applyAlignment="1" applyProtection="1">
      <alignment horizontal="left" vertical="top"/>
      <protection locked="0"/>
    </xf>
    <xf numFmtId="168" fontId="10" fillId="0" borderId="0" xfId="0" applyNumberFormat="1" applyFont="1" applyAlignment="1" applyProtection="1">
      <alignment horizontal="left" vertical="center" indent="1"/>
      <protection locked="0"/>
    </xf>
    <xf numFmtId="0" fontId="11" fillId="0" borderId="0" xfId="85" applyFont="1" applyAlignment="1" applyProtection="1">
      <alignment horizontal="left" vertical="center" wrapText="1"/>
      <protection locked="0"/>
    </xf>
    <xf numFmtId="0" fontId="10" fillId="0" borderId="0" xfId="85" applyFont="1" applyAlignment="1" applyProtection="1">
      <alignment horizontal="left" vertical="center" wrapText="1" indent="1"/>
      <protection locked="0"/>
    </xf>
    <xf numFmtId="172" fontId="10" fillId="3" borderId="62" xfId="2" applyNumberFormat="1" applyFont="1" applyFill="1" applyBorder="1" applyProtection="1">
      <protection locked="0"/>
    </xf>
    <xf numFmtId="0" fontId="10" fillId="42" borderId="0" xfId="75" applyFont="1" applyFill="1" applyAlignment="1" applyProtection="1">
      <alignment horizontal="center" vertical="top"/>
      <protection locked="0"/>
    </xf>
    <xf numFmtId="172" fontId="10" fillId="0" borderId="0" xfId="2" applyNumberFormat="1" applyFont="1" applyFill="1" applyBorder="1" applyProtection="1">
      <protection locked="0"/>
    </xf>
    <xf numFmtId="0" fontId="10" fillId="0" borderId="0" xfId="7" applyFont="1" applyAlignment="1" applyProtection="1">
      <alignment horizontal="left" vertical="center" wrapText="1" indent="1"/>
      <protection locked="0"/>
    </xf>
    <xf numFmtId="172" fontId="10" fillId="0" borderId="0" xfId="1" applyNumberFormat="1" applyFont="1" applyFill="1" applyBorder="1" applyProtection="1">
      <protection locked="0"/>
    </xf>
    <xf numFmtId="172" fontId="10" fillId="0" borderId="0" xfId="2" applyNumberFormat="1" applyFont="1" applyFill="1" applyBorder="1" applyAlignment="1" applyProtection="1">
      <alignment horizontal="right" vertical="center"/>
      <protection locked="0"/>
    </xf>
    <xf numFmtId="0" fontId="0" fillId="42" borderId="0" xfId="0" applyFill="1" applyProtection="1">
      <protection locked="0"/>
    </xf>
    <xf numFmtId="168" fontId="10" fillId="42" borderId="0" xfId="0" applyNumberFormat="1" applyFont="1" applyFill="1" applyAlignment="1" applyProtection="1">
      <alignment horizontal="left" vertical="center" indent="1"/>
      <protection locked="0"/>
    </xf>
    <xf numFmtId="172" fontId="11" fillId="42" borderId="28" xfId="1" applyNumberFormat="1" applyFont="1" applyFill="1" applyBorder="1" applyProtection="1">
      <protection locked="0"/>
    </xf>
    <xf numFmtId="172" fontId="11" fillId="42" borderId="28" xfId="2" applyNumberFormat="1" applyFont="1" applyFill="1" applyBorder="1" applyAlignment="1" applyProtection="1">
      <alignment horizontal="right" vertical="center"/>
      <protection locked="0"/>
    </xf>
    <xf numFmtId="168" fontId="11" fillId="0" borderId="0" xfId="0" applyNumberFormat="1" applyFont="1" applyAlignment="1" applyProtection="1">
      <alignment horizontal="left" vertical="center" indent="1"/>
      <protection locked="0"/>
    </xf>
    <xf numFmtId="0" fontId="8" fillId="53" borderId="0" xfId="0" applyFont="1" applyFill="1" applyProtection="1">
      <protection locked="0"/>
    </xf>
    <xf numFmtId="0" fontId="247" fillId="116" borderId="0" xfId="0" applyFont="1" applyFill="1" applyAlignment="1" applyProtection="1">
      <alignment horizontal="left" vertical="top" indent="1"/>
      <protection locked="0"/>
    </xf>
    <xf numFmtId="0" fontId="0" fillId="116" borderId="0" xfId="0" applyFill="1" applyAlignment="1" applyProtection="1">
      <alignment horizontal="left" vertical="top"/>
      <protection locked="0"/>
    </xf>
    <xf numFmtId="0" fontId="8" fillId="53" borderId="0" xfId="0" applyFont="1" applyFill="1" applyAlignment="1" applyProtection="1">
      <alignment horizontal="left"/>
      <protection locked="0"/>
    </xf>
    <xf numFmtId="0" fontId="0" fillId="53" borderId="0" xfId="0" applyFill="1" applyAlignment="1" applyProtection="1">
      <alignment horizontal="center" vertical="center" wrapText="1"/>
      <protection locked="0"/>
    </xf>
    <xf numFmtId="0" fontId="247" fillId="116" borderId="0" xfId="0" applyFont="1" applyFill="1" applyAlignment="1" applyProtection="1">
      <alignment horizontal="left" vertical="top"/>
      <protection locked="0"/>
    </xf>
    <xf numFmtId="0" fontId="247" fillId="0" borderId="0" xfId="0" applyFont="1" applyAlignment="1" applyProtection="1">
      <alignment horizontal="left" vertical="top"/>
      <protection locked="0"/>
    </xf>
    <xf numFmtId="172" fontId="10" fillId="42" borderId="0" xfId="2" applyNumberFormat="1" applyFont="1" applyFill="1" applyBorder="1" applyAlignment="1" applyProtection="1">
      <alignment horizontal="right" vertical="center"/>
      <protection locked="0"/>
    </xf>
    <xf numFmtId="172" fontId="0" fillId="0" borderId="0" xfId="1" applyNumberFormat="1" applyFont="1" applyFill="1" applyBorder="1" applyAlignment="1" applyProtection="1">
      <alignment horizontal="right"/>
      <protection locked="0"/>
    </xf>
    <xf numFmtId="172" fontId="0" fillId="0" borderId="0" xfId="1" applyNumberFormat="1" applyFont="1" applyFill="1" applyBorder="1" applyAlignment="1" applyProtection="1">
      <protection locked="0"/>
    </xf>
    <xf numFmtId="0" fontId="8" fillId="53" borderId="0" xfId="0" applyFont="1" applyFill="1" applyAlignment="1" applyProtection="1">
      <alignment horizontal="left" indent="1"/>
      <protection locked="0"/>
    </xf>
    <xf numFmtId="172" fontId="0" fillId="51" borderId="71" xfId="1" applyNumberFormat="1" applyFont="1" applyFill="1" applyBorder="1" applyAlignment="1" applyProtection="1">
      <alignment horizontal="right" vertical="top"/>
    </xf>
    <xf numFmtId="0" fontId="10" fillId="37" borderId="71" xfId="75" applyFont="1" applyFill="1" applyBorder="1" applyAlignment="1" applyProtection="1">
      <alignment horizontal="center" vertical="top"/>
    </xf>
    <xf numFmtId="0" fontId="10" fillId="37" borderId="72" xfId="75" applyFont="1" applyFill="1" applyBorder="1" applyAlignment="1" applyProtection="1">
      <alignment horizontal="center" vertical="top"/>
    </xf>
    <xf numFmtId="178" fontId="0" fillId="51" borderId="71" xfId="1" applyNumberFormat="1" applyFont="1" applyFill="1" applyBorder="1" applyAlignment="1" applyProtection="1">
      <alignment horizontal="right"/>
    </xf>
    <xf numFmtId="172" fontId="11" fillId="52" borderId="71" xfId="2" applyNumberFormat="1" applyFont="1" applyFill="1" applyBorder="1" applyAlignment="1" applyProtection="1">
      <alignment horizontal="right" vertical="center"/>
    </xf>
    <xf numFmtId="172" fontId="11" fillId="52" borderId="73" xfId="2" applyNumberFormat="1" applyFont="1" applyFill="1" applyBorder="1" applyAlignment="1" applyProtection="1">
      <alignment horizontal="right" vertical="center"/>
    </xf>
    <xf numFmtId="172" fontId="10" fillId="52" borderId="71" xfId="2" applyNumberFormat="1" applyFont="1" applyFill="1" applyBorder="1" applyAlignment="1" applyProtection="1">
      <alignment horizontal="right" vertical="center"/>
    </xf>
    <xf numFmtId="172" fontId="10" fillId="52" borderId="73" xfId="2" applyNumberFormat="1" applyFont="1" applyFill="1" applyBorder="1" applyAlignment="1" applyProtection="1">
      <alignment horizontal="right" vertical="center"/>
    </xf>
    <xf numFmtId="172" fontId="10" fillId="3" borderId="6" xfId="2" applyNumberFormat="1" applyFont="1" applyFill="1" applyBorder="1" applyProtection="1">
      <protection locked="0"/>
    </xf>
    <xf numFmtId="0" fontId="29" fillId="0" borderId="0" xfId="0" applyFont="1" applyAlignment="1" applyProtection="1">
      <alignment horizontal="left" vertical="top"/>
      <protection locked="0"/>
    </xf>
    <xf numFmtId="252" fontId="0" fillId="0" borderId="0" xfId="0" applyNumberFormat="1" applyAlignment="1" applyProtection="1">
      <alignment horizontal="left" vertical="top"/>
      <protection locked="0"/>
    </xf>
    <xf numFmtId="10" fontId="0" fillId="0" borderId="0" xfId="77" applyNumberFormat="1" applyFont="1" applyProtection="1">
      <protection locked="0"/>
    </xf>
    <xf numFmtId="172" fontId="10" fillId="3" borderId="59" xfId="1" applyNumberFormat="1" applyFont="1" applyFill="1" applyBorder="1" applyProtection="1">
      <protection locked="0"/>
    </xf>
    <xf numFmtId="0" fontId="10" fillId="0" borderId="0" xfId="85" applyFont="1" applyAlignment="1" applyProtection="1">
      <alignment horizontal="left" vertical="center" wrapText="1"/>
      <protection locked="0"/>
    </xf>
    <xf numFmtId="0" fontId="10" fillId="0" borderId="0" xfId="75" applyFont="1" applyAlignment="1" applyProtection="1">
      <alignment horizontal="center" vertical="top"/>
      <protection locked="0"/>
    </xf>
    <xf numFmtId="172" fontId="8" fillId="51" borderId="71" xfId="1" applyNumberFormat="1" applyFont="1" applyFill="1" applyBorder="1" applyAlignment="1" applyProtection="1">
      <alignment horizontal="right"/>
    </xf>
    <xf numFmtId="172" fontId="10" fillId="51" borderId="59" xfId="1" applyNumberFormat="1" applyFont="1" applyFill="1" applyBorder="1" applyProtection="1"/>
    <xf numFmtId="172" fontId="10" fillId="51" borderId="62" xfId="1" applyNumberFormat="1" applyFont="1" applyFill="1" applyBorder="1" applyProtection="1"/>
    <xf numFmtId="172" fontId="8" fillId="52" borderId="71" xfId="1" applyNumberFormat="1" applyFont="1" applyFill="1" applyBorder="1" applyAlignment="1" applyProtection="1">
      <alignment horizontal="right"/>
    </xf>
    <xf numFmtId="172" fontId="0" fillId="51" borderId="62" xfId="1" applyNumberFormat="1" applyFont="1" applyFill="1" applyBorder="1" applyAlignment="1" applyProtection="1">
      <alignment horizontal="right"/>
    </xf>
    <xf numFmtId="172" fontId="10" fillId="38" borderId="103" xfId="1" applyNumberFormat="1" applyFont="1" applyFill="1" applyBorder="1" applyProtection="1"/>
    <xf numFmtId="172" fontId="10" fillId="38" borderId="102" xfId="1" applyNumberFormat="1" applyFont="1" applyFill="1" applyBorder="1" applyProtection="1"/>
    <xf numFmtId="9" fontId="0" fillId="51" borderId="119" xfId="1" applyNumberFormat="1" applyFont="1" applyFill="1" applyBorder="1" applyAlignment="1" applyProtection="1">
      <alignment horizontal="right"/>
    </xf>
    <xf numFmtId="9" fontId="10" fillId="52" borderId="65" xfId="75" applyNumberFormat="1" applyFont="1" applyFill="1" applyBorder="1" applyAlignment="1" applyProtection="1">
      <alignment vertical="top"/>
    </xf>
    <xf numFmtId="9" fontId="10" fillId="52" borderId="66" xfId="75" applyNumberFormat="1" applyFont="1" applyFill="1" applyBorder="1" applyAlignment="1" applyProtection="1">
      <alignment vertical="top"/>
    </xf>
    <xf numFmtId="172" fontId="0" fillId="52" borderId="59" xfId="0" applyNumberFormat="1" applyFill="1" applyBorder="1" applyProtection="1"/>
    <xf numFmtId="172" fontId="0" fillId="52" borderId="60" xfId="0" applyNumberFormat="1" applyFill="1" applyBorder="1" applyProtection="1"/>
    <xf numFmtId="172" fontId="0" fillId="52" borderId="74" xfId="0" applyNumberFormat="1" applyFill="1" applyBorder="1" applyProtection="1"/>
    <xf numFmtId="172" fontId="0" fillId="52" borderId="75" xfId="0" applyNumberFormat="1" applyFill="1" applyBorder="1" applyProtection="1"/>
    <xf numFmtId="172" fontId="0" fillId="51" borderId="71" xfId="0" applyNumberFormat="1" applyFill="1" applyBorder="1" applyProtection="1"/>
    <xf numFmtId="170" fontId="0" fillId="52" borderId="71" xfId="0" applyNumberFormat="1" applyFill="1" applyBorder="1" applyProtection="1"/>
    <xf numFmtId="170" fontId="0" fillId="52" borderId="72" xfId="0" applyNumberFormat="1" applyFill="1" applyBorder="1" applyProtection="1"/>
    <xf numFmtId="170" fontId="0" fillId="51" borderId="68" xfId="0" applyNumberFormat="1" applyFill="1" applyBorder="1" applyProtection="1"/>
    <xf numFmtId="170" fontId="0" fillId="51" borderId="69" xfId="0" applyNumberFormat="1" applyFill="1" applyBorder="1" applyProtection="1"/>
    <xf numFmtId="170" fontId="0" fillId="52" borderId="71" xfId="0" applyNumberFormat="1" applyFill="1" applyBorder="1" applyAlignment="1" applyProtection="1">
      <alignment horizontal="right"/>
    </xf>
    <xf numFmtId="170" fontId="0" fillId="52" borderId="72" xfId="0" applyNumberFormat="1" applyFill="1" applyBorder="1" applyAlignment="1" applyProtection="1">
      <alignment horizontal="right"/>
    </xf>
    <xf numFmtId="351" fontId="0" fillId="52" borderId="59" xfId="0" applyNumberFormat="1" applyFill="1" applyBorder="1" applyAlignment="1" applyProtection="1">
      <alignment horizontal="right" vertical="top"/>
    </xf>
    <xf numFmtId="173" fontId="0" fillId="52" borderId="60" xfId="0" applyNumberFormat="1" applyFill="1" applyBorder="1" applyAlignment="1" applyProtection="1">
      <alignment horizontal="right" vertical="top"/>
    </xf>
    <xf numFmtId="172" fontId="0" fillId="52" borderId="74" xfId="0" applyNumberFormat="1" applyFill="1" applyBorder="1" applyAlignment="1" applyProtection="1">
      <alignment horizontal="right" vertical="top"/>
    </xf>
    <xf numFmtId="172" fontId="0" fillId="52" borderId="75" xfId="0" applyNumberFormat="1" applyFill="1" applyBorder="1" applyAlignment="1" applyProtection="1">
      <alignment horizontal="right" vertical="top"/>
    </xf>
    <xf numFmtId="0" fontId="30" fillId="47" borderId="115" xfId="90" applyFont="1" applyFill="1" applyBorder="1" applyAlignment="1" applyProtection="1">
      <alignment horizontal="center"/>
      <protection locked="0"/>
    </xf>
    <xf numFmtId="0" fontId="30" fillId="47" borderId="0" xfId="90" applyFont="1" applyFill="1" applyAlignment="1" applyProtection="1">
      <alignment horizontal="center"/>
      <protection locked="0"/>
    </xf>
    <xf numFmtId="0" fontId="0" fillId="42" borderId="0" xfId="0" applyFill="1" applyAlignment="1" applyProtection="1">
      <alignment horizontal="right" vertical="top"/>
      <protection locked="0"/>
    </xf>
    <xf numFmtId="0" fontId="0" fillId="42" borderId="0" xfId="0" applyFill="1" applyAlignment="1" applyProtection="1">
      <alignment horizontal="center" vertical="top"/>
      <protection locked="0"/>
    </xf>
    <xf numFmtId="0" fontId="11" fillId="0" borderId="0" xfId="0" applyFont="1" applyAlignment="1" applyProtection="1">
      <alignment horizontal="left" vertical="top"/>
      <protection locked="0"/>
    </xf>
    <xf numFmtId="0" fontId="247" fillId="0" borderId="0" xfId="0" applyFont="1" applyAlignment="1" applyProtection="1">
      <alignment horizontal="left" vertical="top" indent="1"/>
      <protection locked="0"/>
    </xf>
    <xf numFmtId="1" fontId="0" fillId="0" borderId="0" xfId="0" applyNumberFormat="1" applyAlignment="1" applyProtection="1">
      <alignment horizontal="center" vertical="top"/>
      <protection locked="0"/>
    </xf>
    <xf numFmtId="172" fontId="10" fillId="131" borderId="60" xfId="2" applyNumberFormat="1" applyFont="1" applyFill="1" applyBorder="1" applyProtection="1">
      <protection locked="0"/>
    </xf>
    <xf numFmtId="172" fontId="10" fillId="131" borderId="68" xfId="2" applyNumberFormat="1" applyFont="1" applyFill="1" applyBorder="1" applyProtection="1">
      <protection locked="0"/>
    </xf>
    <xf numFmtId="172" fontId="10" fillId="131" borderId="69" xfId="2" applyNumberFormat="1" applyFont="1" applyFill="1" applyBorder="1" applyProtection="1">
      <protection locked="0"/>
    </xf>
    <xf numFmtId="0" fontId="0" fillId="0" borderId="0" xfId="0" applyAlignment="1" applyProtection="1">
      <alignment horizontal="left" vertical="top" indent="2"/>
      <protection locked="0"/>
    </xf>
    <xf numFmtId="172" fontId="10" fillId="131" borderId="59" xfId="2" applyNumberFormat="1" applyFont="1" applyFill="1" applyBorder="1" applyProtection="1">
      <protection locked="0"/>
    </xf>
    <xf numFmtId="172" fontId="10" fillId="3" borderId="76" xfId="2" applyNumberFormat="1" applyFont="1" applyFill="1" applyBorder="1" applyProtection="1">
      <protection locked="0"/>
    </xf>
    <xf numFmtId="0" fontId="8" fillId="0" borderId="0" xfId="0" applyFont="1" applyAlignment="1" applyProtection="1">
      <alignment vertical="top"/>
      <protection locked="0"/>
    </xf>
    <xf numFmtId="172" fontId="10" fillId="131" borderId="71" xfId="2" applyNumberFormat="1" applyFont="1" applyFill="1" applyBorder="1" applyProtection="1">
      <protection locked="0"/>
    </xf>
    <xf numFmtId="172" fontId="10" fillId="131" borderId="6" xfId="2" applyNumberFormat="1" applyFont="1" applyFill="1" applyBorder="1" applyProtection="1">
      <protection locked="0"/>
    </xf>
    <xf numFmtId="172" fontId="11" fillId="3" borderId="74" xfId="2" applyNumberFormat="1" applyFont="1" applyFill="1" applyBorder="1" applyProtection="1">
      <protection locked="0"/>
    </xf>
    <xf numFmtId="172" fontId="11" fillId="0" borderId="0" xfId="2" applyNumberFormat="1" applyFont="1" applyFill="1" applyBorder="1" applyProtection="1">
      <protection locked="0"/>
    </xf>
    <xf numFmtId="352" fontId="10" fillId="0" borderId="0" xfId="2" applyNumberFormat="1" applyFont="1" applyFill="1" applyBorder="1" applyAlignment="1" applyProtection="1">
      <alignment horizontal="center"/>
      <protection locked="0"/>
    </xf>
    <xf numFmtId="172" fontId="269" fillId="0" borderId="0" xfId="2" applyNumberFormat="1" applyFont="1" applyFill="1" applyBorder="1" applyProtection="1">
      <protection locked="0"/>
    </xf>
    <xf numFmtId="1" fontId="0" fillId="0" borderId="0" xfId="0" applyNumberFormat="1" applyAlignment="1" applyProtection="1">
      <alignment vertical="top"/>
      <protection locked="0"/>
    </xf>
    <xf numFmtId="252" fontId="11" fillId="0" borderId="0" xfId="2" applyNumberFormat="1" applyFont="1" applyFill="1" applyBorder="1" applyProtection="1">
      <protection locked="0"/>
    </xf>
    <xf numFmtId="0" fontId="27" fillId="0" borderId="0" xfId="0" applyFont="1" applyAlignment="1" applyProtection="1">
      <alignment horizontal="center"/>
      <protection locked="0"/>
    </xf>
    <xf numFmtId="252" fontId="0" fillId="0" borderId="0" xfId="0" applyNumberFormat="1" applyProtection="1">
      <protection locked="0"/>
    </xf>
    <xf numFmtId="172" fontId="0" fillId="0" borderId="0" xfId="0" applyNumberFormat="1" applyProtection="1">
      <protection locked="0"/>
    </xf>
    <xf numFmtId="172" fontId="25" fillId="39" borderId="6" xfId="75" applyNumberFormat="1" applyFont="1" applyFill="1" applyBorder="1" applyProtection="1"/>
    <xf numFmtId="172" fontId="11" fillId="52" borderId="59" xfId="2" applyNumberFormat="1" applyFont="1" applyFill="1" applyBorder="1" applyProtection="1"/>
    <xf numFmtId="172" fontId="11" fillId="52" borderId="60" xfId="2" applyNumberFormat="1" applyFont="1" applyFill="1" applyBorder="1" applyProtection="1"/>
    <xf numFmtId="172" fontId="11" fillId="52" borderId="74" xfId="2" applyNumberFormat="1" applyFont="1" applyFill="1" applyBorder="1" applyProtection="1"/>
    <xf numFmtId="172" fontId="11" fillId="52" borderId="119" xfId="2" applyNumberFormat="1" applyFont="1" applyFill="1" applyBorder="1" applyProtection="1"/>
    <xf numFmtId="172" fontId="11" fillId="52" borderId="71" xfId="2" applyNumberFormat="1" applyFont="1" applyFill="1" applyBorder="1" applyProtection="1"/>
    <xf numFmtId="172" fontId="11" fillId="52" borderId="160" xfId="2" applyNumberFormat="1" applyFont="1" applyFill="1" applyBorder="1" applyProtection="1"/>
    <xf numFmtId="172" fontId="11" fillId="52" borderId="121" xfId="2" applyNumberFormat="1" applyFont="1" applyFill="1" applyBorder="1" applyProtection="1"/>
    <xf numFmtId="352" fontId="10" fillId="54" borderId="71" xfId="2" applyNumberFormat="1" applyFont="1" applyFill="1" applyBorder="1" applyAlignment="1" applyProtection="1">
      <alignment horizontal="center"/>
    </xf>
    <xf numFmtId="352" fontId="10" fillId="54" borderId="160" xfId="2" applyNumberFormat="1" applyFont="1" applyFill="1" applyBorder="1" applyAlignment="1" applyProtection="1">
      <alignment horizontal="center"/>
    </xf>
    <xf numFmtId="352" fontId="10" fillId="54" borderId="121" xfId="2" applyNumberFormat="1" applyFont="1" applyFill="1" applyBorder="1" applyAlignment="1" applyProtection="1">
      <alignment horizontal="center"/>
    </xf>
    <xf numFmtId="178" fontId="0" fillId="52" borderId="6" xfId="0" applyNumberFormat="1" applyFill="1" applyBorder="1" applyAlignment="1" applyProtection="1">
      <alignment horizontal="right" vertical="top"/>
    </xf>
    <xf numFmtId="351" fontId="11" fillId="52" borderId="71" xfId="2" applyNumberFormat="1" applyFont="1" applyFill="1" applyBorder="1" applyProtection="1"/>
    <xf numFmtId="10" fontId="0" fillId="51" borderId="59" xfId="0" applyNumberFormat="1" applyFill="1" applyBorder="1" applyAlignment="1" applyProtection="1">
      <alignment horizontal="right" vertical="top"/>
    </xf>
    <xf numFmtId="10" fontId="0" fillId="51" borderId="62" xfId="0" applyNumberFormat="1" applyFill="1" applyBorder="1" applyAlignment="1" applyProtection="1">
      <alignment horizontal="right" vertical="top"/>
    </xf>
    <xf numFmtId="170" fontId="0" fillId="51" borderId="65" xfId="0" applyNumberFormat="1" applyFill="1" applyBorder="1" applyAlignment="1" applyProtection="1">
      <alignment horizontal="right" vertical="top"/>
    </xf>
    <xf numFmtId="10" fontId="10" fillId="52" borderId="71" xfId="2" applyNumberFormat="1" applyFont="1" applyFill="1" applyBorder="1" applyProtection="1"/>
    <xf numFmtId="10" fontId="10" fillId="52" borderId="72" xfId="2" applyNumberFormat="1" applyFont="1" applyFill="1" applyBorder="1" applyProtection="1"/>
    <xf numFmtId="0" fontId="270" fillId="47" borderId="125" xfId="90" applyFont="1" applyFill="1" applyBorder="1" applyAlignment="1" applyProtection="1">
      <alignment horizontal="center"/>
      <protection locked="0"/>
    </xf>
    <xf numFmtId="0" fontId="244" fillId="0" borderId="0" xfId="90" applyFont="1" applyAlignment="1" applyProtection="1">
      <alignment horizontal="left"/>
      <protection locked="0"/>
    </xf>
    <xf numFmtId="0" fontId="245" fillId="0" borderId="0" xfId="0" applyFont="1" applyProtection="1">
      <protection locked="0"/>
    </xf>
    <xf numFmtId="0" fontId="247" fillId="116" borderId="0" xfId="0" applyFont="1" applyFill="1" applyAlignment="1" applyProtection="1">
      <alignment vertical="top"/>
      <protection locked="0"/>
    </xf>
    <xf numFmtId="0" fontId="8" fillId="0" borderId="0" xfId="0" applyFont="1" applyAlignment="1" applyProtection="1">
      <alignment wrapText="1"/>
      <protection locked="0"/>
    </xf>
    <xf numFmtId="172" fontId="0" fillId="3" borderId="71" xfId="0" applyNumberFormat="1" applyFill="1" applyBorder="1" applyAlignment="1" applyProtection="1">
      <alignment horizontal="right" vertical="center"/>
      <protection locked="0"/>
    </xf>
    <xf numFmtId="0" fontId="273" fillId="0" borderId="0" xfId="0" applyFont="1" applyProtection="1">
      <protection locked="0"/>
    </xf>
    <xf numFmtId="172" fontId="0" fillId="0" borderId="0" xfId="0" applyNumberFormat="1" applyAlignment="1" applyProtection="1">
      <alignment horizontal="right" vertical="center"/>
      <protection locked="0"/>
    </xf>
    <xf numFmtId="168" fontId="11" fillId="0" borderId="0" xfId="0" applyNumberFormat="1" applyFont="1" applyAlignment="1" applyProtection="1">
      <alignment vertical="center"/>
      <protection locked="0"/>
    </xf>
    <xf numFmtId="172" fontId="10" fillId="0" borderId="0" xfId="0" applyNumberFormat="1" applyFont="1" applyAlignment="1" applyProtection="1">
      <alignment horizontal="left" vertical="center" indent="1"/>
      <protection locked="0"/>
    </xf>
    <xf numFmtId="168" fontId="29" fillId="0" borderId="0" xfId="0" applyNumberFormat="1" applyFont="1" applyAlignment="1" applyProtection="1">
      <alignment horizontal="left" vertical="center" indent="1"/>
      <protection locked="0"/>
    </xf>
    <xf numFmtId="0" fontId="11" fillId="53" borderId="0" xfId="85" applyFont="1" applyFill="1" applyAlignment="1" applyProtection="1">
      <alignment horizontal="left" vertical="center" wrapText="1"/>
      <protection locked="0"/>
    </xf>
    <xf numFmtId="0" fontId="10" fillId="53" borderId="0" xfId="85" applyFont="1" applyFill="1" applyAlignment="1" applyProtection="1">
      <alignment horizontal="left" vertical="center" wrapText="1"/>
      <protection locked="0"/>
    </xf>
    <xf numFmtId="172" fontId="10" fillId="0" borderId="0" xfId="2" applyNumberFormat="1" applyFont="1" applyProtection="1">
      <protection locked="0"/>
    </xf>
    <xf numFmtId="1" fontId="8" fillId="0" borderId="0" xfId="0" applyNumberFormat="1" applyFont="1" applyAlignment="1" applyProtection="1">
      <alignment horizontal="center" vertical="top"/>
      <protection locked="0"/>
    </xf>
    <xf numFmtId="172" fontId="0" fillId="52" borderId="71" xfId="0" applyNumberFormat="1" applyFill="1" applyBorder="1" applyAlignment="1" applyProtection="1">
      <alignment horizontal="right" vertical="center"/>
    </xf>
    <xf numFmtId="172" fontId="0" fillId="52" borderId="72" xfId="0" applyNumberFormat="1" applyFill="1" applyBorder="1" applyAlignment="1" applyProtection="1">
      <alignment horizontal="right" vertical="center"/>
    </xf>
    <xf numFmtId="178" fontId="0" fillId="51" borderId="71" xfId="0" applyNumberFormat="1" applyFill="1" applyBorder="1" applyAlignment="1" applyProtection="1">
      <alignment horizontal="right" vertical="top"/>
    </xf>
    <xf numFmtId="172" fontId="10" fillId="52" borderId="62" xfId="2" applyNumberFormat="1" applyFont="1" applyFill="1" applyBorder="1" applyProtection="1"/>
    <xf numFmtId="0" fontId="8" fillId="133" borderId="0" xfId="0" applyFont="1" applyFill="1" applyAlignment="1" applyProtection="1">
      <alignment horizontal="left" vertical="center" indent="1"/>
      <protection locked="0"/>
    </xf>
    <xf numFmtId="0" fontId="0" fillId="133" borderId="0" xfId="0" applyFill="1" applyAlignment="1" applyProtection="1">
      <alignment horizontal="left" vertical="top"/>
      <protection locked="0"/>
    </xf>
    <xf numFmtId="14" fontId="0" fillId="0" borderId="0" xfId="0" applyNumberFormat="1" applyProtection="1">
      <protection locked="0"/>
    </xf>
    <xf numFmtId="173" fontId="0" fillId="0" borderId="0" xfId="0" applyNumberFormat="1" applyProtection="1">
      <protection locked="0"/>
    </xf>
    <xf numFmtId="0" fontId="0" fillId="133" borderId="0" xfId="0" applyFill="1" applyProtection="1">
      <protection locked="0"/>
    </xf>
    <xf numFmtId="0" fontId="0" fillId="134" borderId="6" xfId="0" applyFill="1" applyBorder="1" applyProtection="1">
      <protection locked="0"/>
    </xf>
    <xf numFmtId="0" fontId="0" fillId="3" borderId="6" xfId="0" applyFill="1" applyBorder="1" applyProtection="1">
      <protection locked="0"/>
    </xf>
    <xf numFmtId="348" fontId="0" fillId="3" borderId="60" xfId="0" applyNumberFormat="1" applyFill="1" applyBorder="1" applyAlignment="1" applyProtection="1">
      <alignment horizontal="right" vertical="top"/>
      <protection locked="0"/>
    </xf>
    <xf numFmtId="348" fontId="0" fillId="3" borderId="84" xfId="0" applyNumberFormat="1" applyFill="1" applyBorder="1" applyAlignment="1" applyProtection="1">
      <alignment horizontal="right" vertical="top"/>
      <protection locked="0"/>
    </xf>
    <xf numFmtId="348" fontId="0" fillId="3" borderId="63" xfId="0" applyNumberFormat="1" applyFill="1" applyBorder="1" applyAlignment="1" applyProtection="1">
      <alignment horizontal="right" vertical="top"/>
      <protection locked="0"/>
    </xf>
    <xf numFmtId="348" fontId="0" fillId="3" borderId="69" xfId="0" applyNumberFormat="1" applyFill="1" applyBorder="1" applyAlignment="1" applyProtection="1">
      <alignment horizontal="right" vertical="top"/>
      <protection locked="0"/>
    </xf>
    <xf numFmtId="348" fontId="0" fillId="3" borderId="6" xfId="0" applyNumberFormat="1" applyFill="1" applyBorder="1" applyAlignment="1" applyProtection="1">
      <alignment horizontal="right" vertical="top"/>
      <protection locked="0"/>
    </xf>
    <xf numFmtId="348" fontId="0" fillId="0" borderId="0" xfId="0" applyNumberFormat="1" applyProtection="1">
      <protection locked="0"/>
    </xf>
    <xf numFmtId="348" fontId="8" fillId="0" borderId="0" xfId="0" applyNumberFormat="1" applyFont="1" applyProtection="1">
      <protection locked="0"/>
    </xf>
    <xf numFmtId="0" fontId="0" fillId="3" borderId="162" xfId="0" applyFill="1" applyBorder="1" applyAlignment="1" applyProtection="1">
      <alignment vertical="top" wrapText="1"/>
      <protection locked="0"/>
    </xf>
    <xf numFmtId="0" fontId="0" fillId="3" borderId="115" xfId="0" applyFill="1" applyBorder="1" applyAlignment="1" applyProtection="1">
      <alignment vertical="top" wrapText="1"/>
      <protection locked="0"/>
    </xf>
    <xf numFmtId="0" fontId="0" fillId="3" borderId="115" xfId="0" applyFill="1" applyBorder="1" applyAlignment="1" applyProtection="1">
      <alignment wrapText="1"/>
      <protection locked="0"/>
    </xf>
    <xf numFmtId="0" fontId="0" fillId="3" borderId="163" xfId="0" applyFill="1" applyBorder="1" applyAlignment="1" applyProtection="1">
      <alignment wrapText="1"/>
      <protection locked="0"/>
    </xf>
    <xf numFmtId="0" fontId="0" fillId="3" borderId="167" xfId="0" applyFill="1" applyBorder="1" applyAlignment="1" applyProtection="1">
      <alignment horizontal="left"/>
      <protection locked="0"/>
    </xf>
    <xf numFmtId="0" fontId="0" fillId="3" borderId="0" xfId="0" applyFill="1" applyAlignment="1" applyProtection="1">
      <alignment horizontal="left"/>
      <protection locked="0"/>
    </xf>
    <xf numFmtId="0" fontId="0" fillId="3" borderId="89" xfId="0" applyFill="1" applyBorder="1" applyAlignment="1" applyProtection="1">
      <alignment horizontal="left"/>
      <protection locked="0"/>
    </xf>
    <xf numFmtId="0" fontId="0" fillId="3" borderId="125" xfId="0" applyFill="1" applyBorder="1" applyAlignment="1" applyProtection="1">
      <alignment horizontal="left"/>
      <protection locked="0"/>
    </xf>
    <xf numFmtId="348" fontId="0" fillId="52" borderId="119" xfId="0" applyNumberFormat="1" applyFill="1" applyBorder="1" applyAlignment="1" applyProtection="1">
      <alignment horizontal="right" vertical="top"/>
    </xf>
    <xf numFmtId="348" fontId="0" fillId="52" borderId="6" xfId="0" applyNumberFormat="1" applyFill="1" applyBorder="1" applyProtection="1"/>
    <xf numFmtId="348" fontId="0" fillId="52" borderId="59" xfId="0" applyNumberFormat="1" applyFill="1" applyBorder="1" applyAlignment="1" applyProtection="1">
      <alignment horizontal="right" vertical="top"/>
    </xf>
    <xf numFmtId="0" fontId="0" fillId="0" borderId="6" xfId="0" applyBorder="1" applyAlignment="1" applyProtection="1">
      <alignment horizontal="center" vertical="top"/>
      <protection locked="0"/>
    </xf>
    <xf numFmtId="0" fontId="8" fillId="53" borderId="0" xfId="0" applyFont="1" applyFill="1" applyAlignment="1" applyProtection="1">
      <alignment horizontal="left" vertical="top"/>
      <protection locked="0"/>
    </xf>
    <xf numFmtId="172" fontId="0" fillId="0" borderId="6" xfId="0" applyNumberFormat="1" applyBorder="1" applyAlignment="1" applyProtection="1">
      <alignment horizontal="right" vertical="top"/>
      <protection locked="0"/>
    </xf>
    <xf numFmtId="14" fontId="10" fillId="3" borderId="6" xfId="2" applyNumberFormat="1" applyFont="1" applyFill="1" applyBorder="1" applyProtection="1">
      <protection locked="0"/>
    </xf>
    <xf numFmtId="14" fontId="10" fillId="42" borderId="0" xfId="2" applyNumberFormat="1" applyFont="1" applyFill="1" applyBorder="1" applyProtection="1">
      <protection locked="0"/>
    </xf>
    <xf numFmtId="0" fontId="10" fillId="3" borderId="6" xfId="2" applyNumberFormat="1" applyFont="1" applyFill="1" applyBorder="1" applyAlignment="1" applyProtection="1">
      <alignment horizontal="center" vertical="center"/>
      <protection locked="0"/>
    </xf>
    <xf numFmtId="14" fontId="10" fillId="51" borderId="0" xfId="2" applyNumberFormat="1" applyFont="1" applyFill="1" applyBorder="1" applyAlignment="1" applyProtection="1">
      <alignment horizontal="center" vertical="center"/>
      <protection locked="0"/>
    </xf>
    <xf numFmtId="14" fontId="10" fillId="42" borderId="0" xfId="2" applyNumberFormat="1" applyFont="1" applyFill="1" applyBorder="1" applyAlignment="1" applyProtection="1">
      <alignment horizontal="center" vertical="center"/>
      <protection locked="0"/>
    </xf>
    <xf numFmtId="172" fontId="0" fillId="0" borderId="0" xfId="0" applyNumberFormat="1" applyAlignment="1" applyProtection="1">
      <alignment horizontal="right"/>
      <protection locked="0"/>
    </xf>
    <xf numFmtId="168" fontId="10" fillId="0" borderId="0" xfId="0" applyNumberFormat="1" applyFont="1" applyAlignment="1" applyProtection="1">
      <alignment vertical="center"/>
      <protection locked="0"/>
    </xf>
    <xf numFmtId="0" fontId="0" fillId="3" borderId="6" xfId="0" applyFill="1" applyBorder="1" applyAlignment="1" applyProtection="1">
      <alignment horizontal="center" vertical="center" wrapText="1"/>
      <protection locked="0"/>
    </xf>
    <xf numFmtId="354" fontId="10" fillId="52" borderId="6" xfId="7" applyNumberFormat="1" applyFont="1" applyFill="1" applyBorder="1" applyAlignment="1">
      <alignment horizontal="center" vertical="center"/>
    </xf>
    <xf numFmtId="43" fontId="0" fillId="0" borderId="0" xfId="0" applyNumberFormat="1" applyAlignment="1" applyProtection="1">
      <alignment horizontal="left" vertical="top"/>
      <protection locked="0"/>
    </xf>
    <xf numFmtId="9" fontId="0" fillId="0" borderId="0" xfId="0" applyNumberFormat="1" applyAlignment="1" applyProtection="1">
      <alignment horizontal="left" vertical="top"/>
      <protection locked="0"/>
    </xf>
    <xf numFmtId="43" fontId="0" fillId="42" borderId="0" xfId="0" applyNumberFormat="1" applyFill="1" applyAlignment="1" applyProtection="1">
      <alignment horizontal="left" vertical="top"/>
      <protection locked="0"/>
    </xf>
    <xf numFmtId="0" fontId="0" fillId="0" borderId="0" xfId="0" applyAlignment="1">
      <alignment horizontal="center"/>
    </xf>
    <xf numFmtId="0" fontId="0" fillId="0" borderId="97" xfId="0" applyBorder="1" applyAlignment="1">
      <alignment horizontal="left" vertical="center" wrapText="1" indent="1"/>
    </xf>
    <xf numFmtId="0" fontId="0" fillId="0" borderId="80" xfId="0" applyBorder="1" applyAlignment="1">
      <alignment horizontal="left" vertical="center" wrapText="1" indent="1"/>
    </xf>
    <xf numFmtId="3" fontId="0" fillId="0" borderId="118"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100" xfId="0" applyBorder="1" applyAlignment="1">
      <alignment horizontal="left" vertical="center" wrapText="1" indent="1"/>
    </xf>
    <xf numFmtId="0" fontId="0" fillId="0" borderId="78" xfId="0" applyBorder="1" applyAlignment="1">
      <alignment horizontal="left" vertical="center" wrapText="1" indent="1"/>
    </xf>
    <xf numFmtId="0" fontId="0" fillId="0" borderId="99" xfId="0" applyBorder="1" applyAlignment="1">
      <alignment horizontal="left" vertical="center" wrapText="1" indent="1"/>
    </xf>
    <xf numFmtId="0" fontId="0" fillId="0" borderId="79" xfId="0" applyBorder="1" applyAlignment="1">
      <alignment horizontal="left" vertical="center" wrapText="1" indent="1"/>
    </xf>
    <xf numFmtId="173" fontId="0" fillId="117" borderId="100" xfId="0" applyNumberFormat="1" applyFill="1" applyBorder="1" applyAlignment="1">
      <alignment horizontal="center"/>
    </xf>
    <xf numFmtId="173" fontId="0" fillId="117" borderId="95" xfId="0" applyNumberFormat="1" applyFill="1" applyBorder="1" applyAlignment="1">
      <alignment horizontal="center"/>
    </xf>
    <xf numFmtId="173" fontId="0" fillId="117" borderId="61" xfId="0" applyNumberFormat="1" applyFill="1" applyBorder="1" applyAlignment="1">
      <alignment horizontal="center"/>
    </xf>
    <xf numFmtId="0" fontId="0" fillId="0" borderId="118" xfId="0" applyBorder="1" applyAlignment="1">
      <alignment vertical="center" wrapText="1"/>
    </xf>
    <xf numFmtId="0" fontId="0" fillId="0" borderId="28" xfId="0" applyBorder="1" applyAlignment="1">
      <alignment vertical="center" wrapText="1"/>
    </xf>
    <xf numFmtId="0" fontId="0" fillId="0" borderId="121" xfId="0" applyBorder="1" applyAlignment="1">
      <alignment vertical="center" wrapText="1"/>
    </xf>
    <xf numFmtId="0" fontId="0" fillId="0" borderId="100" xfId="0" applyBorder="1" applyAlignment="1">
      <alignment vertical="center" wrapText="1"/>
    </xf>
    <xf numFmtId="0" fontId="0" fillId="0" borderId="83" xfId="0" applyBorder="1" applyAlignment="1">
      <alignment vertical="center" wrapText="1"/>
    </xf>
    <xf numFmtId="0" fontId="0" fillId="0" borderId="96"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2" xfId="0" applyBorder="1" applyAlignment="1">
      <alignment vertical="center" wrapText="1"/>
    </xf>
    <xf numFmtId="1" fontId="8" fillId="0" borderId="139" xfId="0" applyNumberFormat="1" applyFont="1" applyBorder="1" applyAlignment="1">
      <alignment horizontal="center" vertical="center"/>
    </xf>
    <xf numFmtId="1" fontId="8" fillId="0" borderId="140" xfId="0" applyNumberFormat="1" applyFont="1" applyBorder="1" applyAlignment="1">
      <alignment horizontal="center" vertical="center"/>
    </xf>
    <xf numFmtId="1" fontId="8" fillId="0" borderId="141" xfId="0" applyNumberFormat="1" applyFont="1" applyBorder="1" applyAlignment="1">
      <alignment horizontal="center" vertical="center"/>
    </xf>
    <xf numFmtId="0" fontId="0" fillId="0" borderId="99" xfId="0" applyBorder="1" applyAlignment="1">
      <alignment horizontal="left" vertical="center" wrapText="1"/>
    </xf>
    <xf numFmtId="0" fontId="0" fillId="0" borderId="94" xfId="0" applyBorder="1" applyAlignment="1">
      <alignment horizontal="left" vertical="center" wrapText="1"/>
    </xf>
    <xf numFmtId="0" fontId="0" fillId="0" borderId="156" xfId="0" applyBorder="1" applyAlignment="1">
      <alignment horizontal="center" vertical="center" wrapText="1"/>
    </xf>
    <xf numFmtId="0" fontId="0" fillId="0" borderId="157" xfId="0" applyBorder="1" applyAlignment="1">
      <alignment horizontal="center" vertical="center" wrapText="1"/>
    </xf>
    <xf numFmtId="0" fontId="0" fillId="0" borderId="118" xfId="0" applyBorder="1" applyAlignment="1">
      <alignment horizontal="center" vertical="center" wrapText="1"/>
    </xf>
    <xf numFmtId="0" fontId="0" fillId="0" borderId="6" xfId="0" applyBorder="1" applyAlignment="1">
      <alignment horizontal="center" vertical="center" wrapText="1"/>
    </xf>
    <xf numFmtId="0" fontId="0" fillId="0" borderId="79" xfId="0" applyBorder="1" applyAlignment="1">
      <alignment horizontal="left" vertical="center" wrapText="1"/>
    </xf>
    <xf numFmtId="0" fontId="0" fillId="0" borderId="100" xfId="0" applyBorder="1" applyAlignment="1">
      <alignment horizontal="left" vertical="center" wrapText="1"/>
    </xf>
    <xf numFmtId="0" fontId="0" fillId="0" borderId="78" xfId="0" applyBorder="1" applyAlignment="1">
      <alignment horizontal="left" vertical="center" wrapText="1"/>
    </xf>
    <xf numFmtId="0" fontId="0" fillId="0" borderId="118" xfId="0" applyBorder="1" applyAlignment="1">
      <alignment horizontal="left" vertical="center" wrapText="1"/>
    </xf>
    <xf numFmtId="0" fontId="0" fillId="0" borderId="28" xfId="0" applyBorder="1" applyAlignment="1">
      <alignment horizontal="left" vertical="center" wrapText="1"/>
    </xf>
    <xf numFmtId="0" fontId="0" fillId="0" borderId="121" xfId="0" applyBorder="1" applyAlignment="1">
      <alignment horizontal="left" vertical="center" wrapText="1"/>
    </xf>
    <xf numFmtId="0" fontId="0" fillId="0" borderId="97" xfId="0" applyBorder="1" applyAlignment="1">
      <alignment horizontal="left" vertical="center" wrapText="1"/>
    </xf>
    <xf numFmtId="0" fontId="0" fillId="0" borderId="80" xfId="0" applyBorder="1" applyAlignment="1">
      <alignment horizontal="left" vertical="center" wrapText="1"/>
    </xf>
    <xf numFmtId="0" fontId="0" fillId="0" borderId="96" xfId="0" applyBorder="1" applyAlignment="1">
      <alignment horizontal="left" vertical="center" wrapText="1"/>
    </xf>
    <xf numFmtId="0" fontId="0" fillId="0" borderId="0" xfId="0" applyAlignment="1">
      <alignment horizontal="left" vertical="center" wrapText="1"/>
    </xf>
    <xf numFmtId="0" fontId="0" fillId="0" borderId="28" xfId="0" applyBorder="1" applyAlignment="1">
      <alignment horizontal="center" vertical="center" wrapText="1"/>
    </xf>
    <xf numFmtId="0" fontId="0" fillId="0" borderId="121" xfId="0" applyBorder="1" applyAlignment="1">
      <alignment horizontal="center" vertical="center" wrapText="1"/>
    </xf>
    <xf numFmtId="0" fontId="0" fillId="0" borderId="158" xfId="0" applyBorder="1" applyAlignment="1">
      <alignment horizontal="left" vertical="center" wrapText="1" indent="1"/>
    </xf>
    <xf numFmtId="0" fontId="0" fillId="0" borderId="159" xfId="0" applyBorder="1" applyAlignment="1">
      <alignment horizontal="left" vertical="center" wrapText="1" indent="1"/>
    </xf>
    <xf numFmtId="0" fontId="0" fillId="0" borderId="0" xfId="0" applyAlignment="1">
      <alignment horizontal="left" vertical="center" wrapText="1" indent="1"/>
    </xf>
    <xf numFmtId="0" fontId="10" fillId="36" borderId="6" xfId="75" applyFont="1" applyFill="1" applyBorder="1" applyAlignment="1">
      <alignment horizontal="left" vertical="top" wrapText="1"/>
    </xf>
    <xf numFmtId="0" fontId="0" fillId="0" borderId="6" xfId="0" applyBorder="1" applyAlignment="1">
      <alignment horizontal="left" vertical="top" wrapText="1"/>
    </xf>
    <xf numFmtId="0" fontId="33" fillId="0" borderId="6" xfId="75" applyFont="1" applyBorder="1" applyAlignment="1">
      <alignment horizontal="center" vertical="center" wrapText="1"/>
    </xf>
    <xf numFmtId="0" fontId="0" fillId="0" borderId="6" xfId="0" applyBorder="1" applyAlignment="1">
      <alignment wrapText="1"/>
    </xf>
    <xf numFmtId="0" fontId="0" fillId="3" borderId="162" xfId="0" applyFill="1" applyBorder="1" applyAlignment="1" applyProtection="1">
      <alignment horizontal="left" vertical="top" wrapText="1"/>
      <protection locked="0"/>
    </xf>
    <xf numFmtId="0" fontId="0" fillId="3" borderId="115" xfId="0" applyFill="1" applyBorder="1" applyAlignment="1" applyProtection="1">
      <alignment wrapText="1"/>
      <protection locked="0"/>
    </xf>
    <xf numFmtId="0" fontId="0" fillId="0" borderId="0" xfId="0" applyAlignment="1" applyProtection="1">
      <alignment horizontal="center"/>
      <protection locked="0"/>
    </xf>
    <xf numFmtId="0" fontId="0" fillId="3" borderId="163" xfId="0" applyFill="1" applyBorder="1" applyAlignment="1" applyProtection="1">
      <alignment wrapText="1"/>
      <protection locked="0"/>
    </xf>
    <xf numFmtId="0" fontId="0" fillId="3" borderId="0" xfId="0" applyFill="1" applyAlignment="1" applyProtection="1">
      <alignment horizontal="left" vertical="top" indent="1"/>
      <protection locked="0"/>
    </xf>
    <xf numFmtId="0" fontId="247" fillId="116" borderId="0" xfId="0" applyFont="1" applyFill="1" applyAlignment="1" applyProtection="1">
      <alignment horizontal="left" vertical="top" wrapText="1"/>
      <protection locked="0"/>
    </xf>
    <xf numFmtId="0" fontId="0" fillId="134" borderId="118" xfId="0" applyFill="1" applyBorder="1" applyAlignment="1" applyProtection="1">
      <alignment horizontal="center"/>
      <protection locked="0"/>
    </xf>
    <xf numFmtId="0" fontId="0" fillId="134" borderId="28" xfId="0" applyFill="1" applyBorder="1" applyAlignment="1" applyProtection="1">
      <alignment horizontal="center"/>
      <protection locked="0"/>
    </xf>
    <xf numFmtId="0" fontId="0" fillId="134" borderId="121" xfId="0" applyFill="1" applyBorder="1" applyAlignment="1" applyProtection="1">
      <alignment horizontal="center"/>
      <protection locked="0"/>
    </xf>
    <xf numFmtId="0" fontId="0" fillId="53" borderId="161" xfId="0" applyFill="1" applyBorder="1" applyAlignment="1" applyProtection="1">
      <alignment horizontal="center" vertical="top" wrapText="1"/>
      <protection locked="0"/>
    </xf>
    <xf numFmtId="0" fontId="0" fillId="53" borderId="166" xfId="0" applyFill="1" applyBorder="1" applyAlignment="1" applyProtection="1">
      <alignment horizontal="center" vertical="top" wrapText="1"/>
      <protection locked="0"/>
    </xf>
    <xf numFmtId="0" fontId="0" fillId="53" borderId="105" xfId="0" applyFill="1" applyBorder="1" applyAlignment="1" applyProtection="1">
      <alignment horizontal="center" vertical="top" wrapText="1"/>
      <protection locked="0"/>
    </xf>
    <xf numFmtId="164" fontId="0" fillId="3" borderId="59" xfId="0" applyNumberFormat="1" applyFill="1" applyBorder="1" applyAlignment="1" applyProtection="1">
      <alignment horizontal="right" vertical="top"/>
      <protection locked="0"/>
    </xf>
    <xf numFmtId="164" fontId="0" fillId="3" borderId="60" xfId="0" applyNumberFormat="1" applyFill="1" applyBorder="1" applyAlignment="1" applyProtection="1">
      <alignment horizontal="right" vertical="top"/>
      <protection locked="0"/>
    </xf>
    <xf numFmtId="164" fontId="0" fillId="3" borderId="76" xfId="0" applyNumberFormat="1" applyFill="1" applyBorder="1" applyAlignment="1" applyProtection="1">
      <alignment horizontal="right" vertical="top"/>
      <protection locked="0"/>
    </xf>
    <xf numFmtId="164" fontId="0" fillId="3" borderId="84" xfId="0" applyNumberFormat="1" applyFill="1" applyBorder="1" applyAlignment="1" applyProtection="1">
      <alignment horizontal="right" vertical="top"/>
      <protection locked="0"/>
    </xf>
    <xf numFmtId="164" fontId="0" fillId="3" borderId="62" xfId="0" applyNumberFormat="1" applyFill="1" applyBorder="1" applyAlignment="1" applyProtection="1">
      <alignment horizontal="right" vertical="top"/>
      <protection locked="0"/>
    </xf>
    <xf numFmtId="164" fontId="0" fillId="3" borderId="63" xfId="0" applyNumberFormat="1" applyFill="1" applyBorder="1" applyAlignment="1" applyProtection="1">
      <alignment horizontal="right" vertical="top"/>
      <protection locked="0"/>
    </xf>
    <xf numFmtId="164" fontId="0" fillId="3" borderId="68" xfId="0" applyNumberFormat="1" applyFill="1" applyBorder="1" applyAlignment="1" applyProtection="1">
      <alignment horizontal="right" vertical="top"/>
      <protection locked="0"/>
    </xf>
    <xf numFmtId="164" fontId="0" fillId="3" borderId="69" xfId="0" applyNumberFormat="1" applyFill="1" applyBorder="1" applyAlignment="1" applyProtection="1">
      <alignment horizontal="right" vertical="top"/>
      <protection locked="0"/>
    </xf>
    <xf numFmtId="164" fontId="0" fillId="52" borderId="119" xfId="0" applyNumberFormat="1" applyFill="1" applyBorder="1" applyAlignment="1" applyProtection="1">
      <alignment horizontal="right" vertical="top"/>
    </xf>
    <xf numFmtId="164" fontId="0" fillId="3" borderId="6" xfId="0" applyNumberFormat="1" applyFill="1" applyBorder="1" applyAlignment="1" applyProtection="1">
      <alignment horizontal="right" vertical="top"/>
      <protection locked="0"/>
    </xf>
    <xf numFmtId="164" fontId="0" fillId="0" borderId="0" xfId="0" applyNumberFormat="1" applyProtection="1">
      <protection locked="0"/>
    </xf>
    <xf numFmtId="164" fontId="0" fillId="52" borderId="6" xfId="0" applyNumberFormat="1" applyFill="1" applyBorder="1" applyProtection="1"/>
    <xf numFmtId="164" fontId="0" fillId="52" borderId="59" xfId="0" applyNumberFormat="1" applyFill="1" applyBorder="1" applyAlignment="1" applyProtection="1">
      <alignment horizontal="right" vertical="top"/>
    </xf>
    <xf numFmtId="164" fontId="8" fillId="0" borderId="0" xfId="0" applyNumberFormat="1" applyFont="1" applyProtection="1">
      <protection locked="0"/>
    </xf>
  </cellXfs>
  <cellStyles count="51704">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14 2" xfId="51697" xr:uid="{D786B4B1-8F65-4895-A4D3-20C3D9AB1336}"/>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7 2" xfId="51702" xr:uid="{16BCE47F-0775-44AC-AD9C-EE79732921CD}"/>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2 2 2 2" xfId="51700" xr:uid="{9F4AF446-F3AF-4F07-9AFC-7D530C54563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0 2 2" xfId="51695" xr:uid="{FD96FCAA-C9B1-483D-9A3B-FE0F366A0DB9}"/>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0 2 2" xfId="51696" xr:uid="{01EBFC67-6FC9-4297-B358-0FC831192AE6}"/>
    <cellStyle name="Normal 61" xfId="90" xr:uid="{00000000-0005-0000-0000-00003F460000}"/>
    <cellStyle name="Normal 61 2" xfId="16827" xr:uid="{00000000-0005-0000-0000-000040460000}"/>
    <cellStyle name="Normal 61 3 2" xfId="51698" xr:uid="{7DB87781-B3EA-4CD5-9092-96E766B9E9C4}"/>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71" xfId="51685" xr:uid="{D88C049C-0ABF-4963-A188-FC0A6DC5C5F8}"/>
    <cellStyle name="Normal 72" xfId="51687" xr:uid="{78AE7F22-65C0-4960-860E-692289CD99BD}"/>
    <cellStyle name="Normal 73" xfId="51689" xr:uid="{6DF7956B-B673-4C54-8158-D8A9E57FE5A2}"/>
    <cellStyle name="Normal 73 2" xfId="51691"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16" xfId="51686" xr:uid="{A5ABCC90-F860-4D7D-893B-9C9C2F1A77B2}"/>
    <cellStyle name="Percent 17" xfId="51688" xr:uid="{7E2A4EBC-EDAF-455C-99E2-6E0AFECBF748}"/>
    <cellStyle name="Percent 18" xfId="51690" xr:uid="{30F21A05-C29D-4306-B467-A48BF6254259}"/>
    <cellStyle name="Percent 18 2" xfId="51692"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18" xfId="51703" xr:uid="{6D8A232D-4A64-4D2E-8BA2-37AFDBAE2F3A}"/>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10" xfId="51701" xr:uid="{2FD29704-F845-4AAA-ABE2-EF1B5B05A1B8}"/>
    <cellStyle name="Percent 3 2" xfId="21414" xr:uid="{00000000-0005-0000-0000-000069590000}"/>
    <cellStyle name="Percent 3 2 4" xfId="51699" xr:uid="{4DEB5784-13C4-4561-9C53-E16FFCFE34E9}"/>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47 2 2" xfId="51694" xr:uid="{A88BAD4B-83B2-4577-B1C3-F23E9A5FD83B}"/>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47 2 2" xfId="51693" xr:uid="{A5665928-FD4A-489B-8B5C-2D4C7D58E0BC}"/>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93">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lightUp"/>
      </fill>
    </dxf>
    <dxf>
      <border>
        <right style="thin">
          <color auto="1"/>
        </right>
        <vertical/>
        <horizontal/>
      </border>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bgColor theme="0" tint="-4.9989318521683403E-2"/>
        </patternFill>
      </fill>
    </dxf>
    <dxf>
      <fill>
        <patternFill patternType="darkUp">
          <fgColor rgb="FFC0C0C0"/>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fgColor auto="1"/>
          <bgColor theme="7" tint="0.79998168889431442"/>
        </patternFill>
      </fill>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CC"/>
      <color rgb="FFFFFFAB"/>
      <color rgb="FFC0C0C0"/>
      <color rgb="FFFFFFCC"/>
      <color rgb="FFCCFFFF"/>
      <color rgb="FFFFCC99"/>
      <color rgb="FFCCECFF"/>
      <color rgb="FFFFFF99"/>
      <color rgb="FF99CCFF"/>
      <color rgb="FFFFF4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theme" Target="theme/theme1.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2197385</xdr:colOff>
      <xdr:row>1</xdr:row>
      <xdr:rowOff>1810</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1055312</xdr:colOff>
      <xdr:row>0</xdr:row>
      <xdr:rowOff>561334</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ximo Workload"/>
      <sheetName val="Costs_AfterRule2"/>
      <sheetName val="Inp_DataHub_Costs"/>
      <sheetName val="Inp_DataHub_Volumes"/>
      <sheetName val="Inp_BPDT"/>
      <sheetName val="Inp_BPDT_Repex"/>
      <sheetName val="Valuation worksheet"/>
      <sheetName val="Inp_BPDT_CapexVolumes"/>
      <sheetName val="Inp_BPDT_CapexVolumes_v2"/>
      <sheetName val="ADMIN"/>
      <sheetName val="Data Lookups"/>
      <sheetName val="Transmission PCRRP tables_SPTL_"/>
      <sheetName val="FP23 Finance Summary"/>
      <sheetName val="Project Summary (2)"/>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 val="FF_021"/>
      <sheetName val="FF_031"/>
      <sheetName val="Universal_data"/>
      <sheetName val="DA Trace"/>
      <sheetName val="FF_022"/>
      <sheetName val="FF_032"/>
      <sheetName val="Universal_data1"/>
      <sheetName val="DA_Trace"/>
      <sheetName val="Basic-Default"/>
    </sheetNames>
    <sheetDataSet>
      <sheetData sheetId="0"/>
      <sheetData sheetId="1"/>
      <sheetData sheetId="2"/>
      <sheetData sheetId="3"/>
      <sheetData sheetId="4">
        <row r="5">
          <cell r="D5">
            <v>-20</v>
          </cell>
        </row>
      </sheetData>
      <sheetData sheetId="5"/>
      <sheetData sheetId="6"/>
      <sheetData sheetId="7"/>
      <sheetData sheetId="8" refreshError="1"/>
      <sheetData sheetId="9" refreshError="1"/>
      <sheetData sheetId="10"/>
      <sheetData sheetId="11"/>
      <sheetData sheetId="12"/>
      <sheetData sheetId="13" refreshError="1"/>
      <sheetData sheetId="14"/>
      <sheetData sheetId="15"/>
      <sheetData sheetId="16"/>
      <sheetData sheetId="17"/>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 val="Working 1.2"/>
      <sheetName val="Income_collected1"/>
      <sheetName val="Opex_subjective1"/>
      <sheetName val="Capex_Comp1"/>
      <sheetName val="Capex_Comparators_FOC1"/>
      <sheetName val="Incentive_Forecast1"/>
      <sheetName val="Opex_Comparators-sensitivities1"/>
      <sheetName val="Opex_Objective_YTD1"/>
      <sheetName val="Opex_by_FOC1"/>
      <sheetName val="Opex_Trend_&amp;_MAT1"/>
      <sheetName val="Incentive_Graphs1"/>
      <sheetName val="Opex_Objective_Discrete_Mths1"/>
      <sheetName val="Manpower_Summary1"/>
      <sheetName val="Opex_Subj_by_Mth1"/>
      <sheetName val="Opex_Objective_Mth1"/>
      <sheetName val="By_Account_Code1"/>
      <sheetName val="By_Business_Unit1"/>
      <sheetName val="ETO_Capx1"/>
      <sheetName val="ESO_Capx1"/>
      <sheetName val="GAS_SO_Capx1"/>
      <sheetName val="GAS_TO_Capx_1"/>
      <sheetName val="Range_Names1"/>
      <sheetName val="Working_1_2"/>
      <sheetName val="CC GSO by Account"/>
      <sheetName val="Periods"/>
      <sheetName val="CCSO by Units"/>
      <sheetName val="FY2000"/>
      <sheetName val="PL"/>
      <sheetName val="Summary rev"/>
      <sheetName val="CF"/>
      <sheetName val="P&amp;L"/>
      <sheetName val="BS"/>
      <sheetName val="Settings"/>
      <sheetName val="EssActuals"/>
      <sheetName val="DB Annual Model"/>
      <sheetName val="Data1"/>
      <sheetName val="ETO pvc"/>
      <sheetName val="Business Unit"/>
      <sheetName val="MAP"/>
      <sheetName val="General Taxes"/>
      <sheetName val="Dave Birch - total"/>
      <sheetName val="Consolidated Results"/>
      <sheetName val="HoldCo Debt projected"/>
      <sheetName val="PLC"/>
      <sheetName val="NGET"/>
      <sheetName val="NGG"/>
      <sheetName val="NGNA"/>
      <sheetName val="NGUSA"/>
      <sheetName val="NIMO"/>
      <sheetName val="KEDNY"/>
      <sheetName val="KEDLI"/>
      <sheetName val="COLG"/>
      <sheetName val="BEG"/>
      <sheetName val="MECO"/>
      <sheetName val="NECO"/>
      <sheetName val="GENCO"/>
      <sheetName val="NEP"/>
      <sheetName val="DATA"/>
      <sheetName val="BS Distr"/>
      <sheetName val="Data Sheet"/>
      <sheetName val="Income_collected2"/>
      <sheetName val="Opex_subjective2"/>
      <sheetName val="Capex_Comp2"/>
      <sheetName val="Capex_Comparators_FOC2"/>
      <sheetName val="Incentive_Forecast2"/>
      <sheetName val="Opex_Comparators-sensitivities2"/>
      <sheetName val="Opex_Objective_YTD2"/>
      <sheetName val="Opex_by_FOC2"/>
      <sheetName val="Opex_Trend_&amp;_MAT2"/>
      <sheetName val="Incentive_Graphs2"/>
      <sheetName val="Opex_Objective_Discrete_Mths2"/>
      <sheetName val="Manpower_Summary2"/>
      <sheetName val="Opex_Subj_by_Mth2"/>
      <sheetName val="Opex_Objective_Mth2"/>
      <sheetName val="By_Account_Code2"/>
      <sheetName val="By_Business_Unit2"/>
      <sheetName val="ETO_Capx2"/>
      <sheetName val="ESO_Capx2"/>
      <sheetName val="GAS_SO_Capx2"/>
      <sheetName val="GAS_TO_Capx_2"/>
      <sheetName val="Range_Names2"/>
      <sheetName val="Working_1_21"/>
      <sheetName val="Model"/>
      <sheetName val="Drop down menus"/>
      <sheetName val="Lookups"/>
      <sheetName val="Drop_down_menus"/>
      <sheetName val="CC_GSO_by_Account"/>
      <sheetName val="CCSO_by_Units"/>
      <sheetName val="Summary_rev"/>
      <sheetName val="DB_Annual_Model"/>
      <sheetName val="ETO_pvc"/>
      <sheetName val="Business_Unit"/>
      <sheetName val="General_Taxes"/>
      <sheetName val="Dave_Birch_-_total"/>
      <sheetName val="Consolidated_Results"/>
      <sheetName val="HoldCo_Debt_projected"/>
      <sheetName val="BS_Distr"/>
      <sheetName val="Data_Sheet"/>
      <sheetName val="Drop_down_menus1"/>
      <sheetName val="CC_GSO_by_Account1"/>
      <sheetName val="CCSO_by_Units1"/>
      <sheetName val="Summary_rev1"/>
      <sheetName val="DB_Annual_Model1"/>
      <sheetName val="ETO_pvc1"/>
      <sheetName val="Business_Unit1"/>
      <sheetName val="General_Taxes1"/>
      <sheetName val="Dave_Birch_-_total1"/>
      <sheetName val="Consolidated_Results1"/>
      <sheetName val="HoldCo_Debt_projected1"/>
      <sheetName val="BS_Distr1"/>
      <sheetName val="Data_Sheet1"/>
    </sheetNames>
    <sheetDataSet>
      <sheetData sheetId="0">
        <row r="1">
          <cell r="A1" t="str">
            <v>Moody's Ratios</v>
          </cell>
          <cell r="B1" t="str">
            <v>FY16A</v>
          </cell>
          <cell r="C1" t="str">
            <v>FY17A</v>
          </cell>
          <cell r="D1" t="str">
            <v>FY18A</v>
          </cell>
          <cell r="E1" t="str">
            <v>FY19</v>
          </cell>
          <cell r="F1" t="str">
            <v>FY20</v>
          </cell>
          <cell r="G1" t="str">
            <v>FY21</v>
          </cell>
          <cell r="H1" t="str">
            <v>FY22</v>
          </cell>
          <cell r="I1" t="str">
            <v>FY23</v>
          </cell>
        </row>
        <row r="2">
          <cell r="A2">
            <v>0</v>
          </cell>
          <cell r="B2" t="str">
            <v>$m</v>
          </cell>
          <cell r="C2" t="str">
            <v>$m</v>
          </cell>
          <cell r="D2" t="str">
            <v>$m</v>
          </cell>
          <cell r="E2" t="str">
            <v>$m</v>
          </cell>
          <cell r="F2" t="str">
            <v>$m</v>
          </cell>
          <cell r="G2" t="str">
            <v>$m</v>
          </cell>
          <cell r="H2" t="str">
            <v>$m</v>
          </cell>
          <cell r="I2" t="str">
            <v>$m</v>
          </cell>
        </row>
        <row r="3">
          <cell r="A3" t="str">
            <v>BP 18</v>
          </cell>
          <cell r="B3">
            <v>0</v>
          </cell>
          <cell r="C3">
            <v>0</v>
          </cell>
          <cell r="D3">
            <v>0</v>
          </cell>
          <cell r="E3">
            <v>0</v>
          </cell>
          <cell r="F3">
            <v>0</v>
          </cell>
          <cell r="G3">
            <v>0</v>
          </cell>
          <cell r="H3">
            <v>0</v>
          </cell>
          <cell r="I3">
            <v>0</v>
          </cell>
        </row>
        <row r="4">
          <cell r="A4" t="str">
            <v>CFO pre-WC</v>
          </cell>
          <cell r="B4">
            <v>2036.0459406499697</v>
          </cell>
          <cell r="C4">
            <v>1755.1638497190179</v>
          </cell>
          <cell r="D4">
            <v>2212.4172619812457</v>
          </cell>
          <cell r="E4">
            <v>2246.7873840773145</v>
          </cell>
          <cell r="F4">
            <v>2447.9659652879736</v>
          </cell>
          <cell r="G4">
            <v>2624.1360873926969</v>
          </cell>
          <cell r="H4">
            <v>2897.2801638236942</v>
          </cell>
          <cell r="I4">
            <v>3003.2450894328667</v>
          </cell>
        </row>
        <row r="5">
          <cell r="A5" t="str">
            <v>Adjusted gross debt</v>
          </cell>
          <cell r="B5">
            <v>20291.93865509508</v>
          </cell>
          <cell r="C5">
            <v>20234.49606142324</v>
          </cell>
          <cell r="D5">
            <v>19844.4131223072</v>
          </cell>
          <cell r="E5">
            <v>21480.382462064586</v>
          </cell>
          <cell r="F5">
            <v>23182.516141275948</v>
          </cell>
          <cell r="G5">
            <v>24672.828996058579</v>
          </cell>
          <cell r="H5">
            <v>25840.250232098933</v>
          </cell>
          <cell r="I5">
            <v>27021.195382852045</v>
          </cell>
        </row>
        <row r="6">
          <cell r="A6" t="str">
            <v>CFO pre-WC / Debt</v>
          </cell>
          <cell r="B6">
            <v>0.10033767474152802</v>
          </cell>
          <cell r="C6">
            <v>8.6741169357076861E-2</v>
          </cell>
          <cell r="D6">
            <v>0.11148816789619527</v>
          </cell>
          <cell r="E6">
            <v>0.10459717782238057</v>
          </cell>
          <cell r="F6">
            <v>0.1055953525652647</v>
          </cell>
          <cell r="G6">
            <v>0.10635732480502726</v>
          </cell>
          <cell r="H6">
            <v>0.11212275956308942</v>
          </cell>
          <cell r="I6">
            <v>0.11114404995342138</v>
          </cell>
        </row>
        <row r="7">
          <cell r="A7" t="str">
            <v xml:space="preserve">Adjusted gross debt post Cadent proceeds </v>
          </cell>
          <cell r="B7">
            <v>0</v>
          </cell>
          <cell r="C7">
            <v>0</v>
          </cell>
          <cell r="D7">
            <v>0</v>
          </cell>
          <cell r="E7">
            <v>0</v>
          </cell>
          <cell r="F7">
            <v>20542.516141275948</v>
          </cell>
          <cell r="G7">
            <v>22032.828996058579</v>
          </cell>
          <cell r="H7">
            <v>23200.250232098933</v>
          </cell>
          <cell r="I7">
            <v>24381.195382852045</v>
          </cell>
        </row>
        <row r="8">
          <cell r="A8" t="str">
            <v>CFO pre-WC / Debt post Cadent proceeds</v>
          </cell>
          <cell r="B8">
            <v>0</v>
          </cell>
          <cell r="C8">
            <v>0</v>
          </cell>
          <cell r="D8">
            <v>0</v>
          </cell>
          <cell r="E8">
            <v>0</v>
          </cell>
          <cell r="F8">
            <v>0.11916582897891904</v>
          </cell>
          <cell r="G8">
            <v>0.11910118704511911</v>
          </cell>
          <cell r="H8">
            <v>0.12488141872776587</v>
          </cell>
          <cell r="I8">
            <v>0.12317874666412502</v>
          </cell>
        </row>
        <row r="10">
          <cell r="A10" t="str">
            <v>Adjusted gross debt needed for a 15% ratio</v>
          </cell>
          <cell r="B10">
            <v>13573.639604333132</v>
          </cell>
          <cell r="C10">
            <v>11701.09233146012</v>
          </cell>
          <cell r="D10">
            <v>14749.448413208305</v>
          </cell>
          <cell r="E10">
            <v>14978.582560515431</v>
          </cell>
          <cell r="F10">
            <v>16319.773101919825</v>
          </cell>
          <cell r="G10">
            <v>17494.240582617982</v>
          </cell>
          <cell r="H10">
            <v>19315.201092157964</v>
          </cell>
          <cell r="I10">
            <v>20021.633929552445</v>
          </cell>
        </row>
        <row r="11">
          <cell r="A11" t="str">
            <v>Surplus debt (post Cadent proceeds)</v>
          </cell>
          <cell r="B11">
            <v>6718.2990507619488</v>
          </cell>
          <cell r="C11">
            <v>8533.40372996312</v>
          </cell>
          <cell r="D11">
            <v>5094.9647090988947</v>
          </cell>
          <cell r="E11">
            <v>6501.799901549155</v>
          </cell>
          <cell r="F11">
            <v>4222.7430393561226</v>
          </cell>
          <cell r="G11">
            <v>4538.5884134405969</v>
          </cell>
          <cell r="H11">
            <v>3885.0491399409693</v>
          </cell>
          <cell r="I11">
            <v>4359.5614532996005</v>
          </cell>
        </row>
        <row r="12">
          <cell r="A12" t="str">
            <v>Or extra CFO needed</v>
          </cell>
          <cell r="B12">
            <v>0</v>
          </cell>
          <cell r="C12">
            <v>0</v>
          </cell>
          <cell r="D12">
            <v>0</v>
          </cell>
          <cell r="E12">
            <v>0</v>
          </cell>
          <cell r="F12">
            <v>633.41145590341841</v>
          </cell>
          <cell r="G12">
            <v>680.78826201608956</v>
          </cell>
          <cell r="H12">
            <v>582.75737099114542</v>
          </cell>
          <cell r="I12">
            <v>653.93421799494001</v>
          </cell>
        </row>
        <row r="13">
          <cell r="G13">
            <v>0</v>
          </cell>
        </row>
        <row r="14">
          <cell r="A14" t="str">
            <v>KEDNY &amp; KEDLI filing - additional FFO vs. BP18</v>
          </cell>
          <cell r="B14">
            <v>0</v>
          </cell>
          <cell r="C14">
            <v>0</v>
          </cell>
          <cell r="D14">
            <v>0</v>
          </cell>
          <cell r="E14">
            <v>0</v>
          </cell>
          <cell r="F14">
            <v>0</v>
          </cell>
          <cell r="G14">
            <v>248</v>
          </cell>
          <cell r="H14">
            <v>282</v>
          </cell>
          <cell r="I14">
            <v>368</v>
          </cell>
        </row>
        <row r="15">
          <cell r="A15" t="str">
            <v>KEDLI</v>
          </cell>
          <cell r="B15">
            <v>0</v>
          </cell>
          <cell r="C15">
            <v>0</v>
          </cell>
          <cell r="D15">
            <v>0</v>
          </cell>
          <cell r="E15">
            <v>0</v>
          </cell>
          <cell r="F15">
            <v>0</v>
          </cell>
          <cell r="G15">
            <v>47</v>
          </cell>
          <cell r="H15">
            <v>74</v>
          </cell>
          <cell r="I15">
            <v>94</v>
          </cell>
        </row>
        <row r="16">
          <cell r="A16" t="str">
            <v>KEDNY &amp; KEDLI filing</v>
          </cell>
          <cell r="B16">
            <v>0</v>
          </cell>
          <cell r="C16">
            <v>0</v>
          </cell>
          <cell r="D16">
            <v>0</v>
          </cell>
          <cell r="E16">
            <v>0</v>
          </cell>
          <cell r="F16">
            <v>0</v>
          </cell>
          <cell r="G16">
            <v>201</v>
          </cell>
          <cell r="H16">
            <v>208</v>
          </cell>
          <cell r="I16">
            <v>274</v>
          </cell>
        </row>
        <row r="18">
          <cell r="A18" t="str">
            <v>FFO with KEDNY/KEDLI filing</v>
          </cell>
          <cell r="F18">
            <v>2447.9659652879736</v>
          </cell>
          <cell r="G18">
            <v>2825.1360873926969</v>
          </cell>
          <cell r="H18">
            <v>3105.2801638236942</v>
          </cell>
          <cell r="I18">
            <v>3277.2450894328667</v>
          </cell>
        </row>
        <row r="19">
          <cell r="A19" t="str">
            <v>Debt after Cadent proceeds</v>
          </cell>
          <cell r="F19" t="e">
            <v>#REF!</v>
          </cell>
          <cell r="G19" t="e">
            <v>#REF!</v>
          </cell>
          <cell r="H19" t="e">
            <v>#REF!</v>
          </cell>
          <cell r="I19" t="e">
            <v>#REF!</v>
          </cell>
        </row>
        <row r="20">
          <cell r="F20" t="e">
            <v>#REF!</v>
          </cell>
          <cell r="G20" t="e">
            <v>#REF!</v>
          </cell>
          <cell r="H20" t="e">
            <v>#REF!</v>
          </cell>
          <cell r="I20" t="e">
            <v>#REF!</v>
          </cell>
        </row>
        <row r="22">
          <cell r="A22" t="str">
            <v>Opco debt</v>
          </cell>
          <cell r="B22">
            <v>9185.527</v>
          </cell>
          <cell r="C22">
            <v>9456.0750000000007</v>
          </cell>
          <cell r="D22">
            <v>10264.777</v>
          </cell>
          <cell r="E22">
            <v>11012.220794586174</v>
          </cell>
          <cell r="F22">
            <v>12422.806033726687</v>
          </cell>
          <cell r="G22">
            <v>13886.46850731013</v>
          </cell>
          <cell r="H22">
            <v>15393.190994418426</v>
          </cell>
          <cell r="I22">
            <v>16783.586553781563</v>
          </cell>
        </row>
        <row r="23">
          <cell r="A23" t="str">
            <v>CFO pre-WC / Debt</v>
          </cell>
          <cell r="B23">
            <v>0.22165804320753393</v>
          </cell>
          <cell r="C23">
            <v>0.18561230211467419</v>
          </cell>
          <cell r="D23">
            <v>0.21553485886554044</v>
          </cell>
          <cell r="E23">
            <v>0.20402672866692609</v>
          </cell>
          <cell r="F23">
            <v>0.19705418877522426</v>
          </cell>
          <cell r="G23">
            <v>0.18897072974394435</v>
          </cell>
          <cell r="H23">
            <v>0.18821829501590986</v>
          </cell>
          <cell r="I23">
            <v>0.17893941082314116</v>
          </cell>
        </row>
        <row r="25">
          <cell r="A25" t="str">
            <v>Holdco Debt</v>
          </cell>
          <cell r="B25">
            <v>11106.41165509508</v>
          </cell>
          <cell r="C25">
            <v>10778.42106142324</v>
          </cell>
          <cell r="D25">
            <v>9579.6361223071999</v>
          </cell>
          <cell r="E25">
            <v>10468.161667478413</v>
          </cell>
          <cell r="F25">
            <v>10759.710107549261</v>
          </cell>
          <cell r="G25">
            <v>10786.360488748449</v>
          </cell>
          <cell r="H25">
            <v>10447.059237680507</v>
          </cell>
          <cell r="I25">
            <v>10237.608829070483</v>
          </cell>
        </row>
        <row r="26">
          <cell r="A26" t="str">
            <v>Less Cadent</v>
          </cell>
          <cell r="F26">
            <v>-2640</v>
          </cell>
          <cell r="G26">
            <v>-2640</v>
          </cell>
          <cell r="H26">
            <v>-2640</v>
          </cell>
          <cell r="I26">
            <v>-2640</v>
          </cell>
        </row>
        <row r="27">
          <cell r="A27" t="str">
            <v>Remaining holdco debt</v>
          </cell>
          <cell r="B27">
            <v>11106.41165509508</v>
          </cell>
          <cell r="C27">
            <v>10778.42106142324</v>
          </cell>
          <cell r="D27">
            <v>9579.6361223071999</v>
          </cell>
          <cell r="E27">
            <v>10468.161667478413</v>
          </cell>
          <cell r="F27">
            <v>8119.710107549261</v>
          </cell>
          <cell r="G27">
            <v>8146.3604887484489</v>
          </cell>
          <cell r="H27">
            <v>7807.0592376805071</v>
          </cell>
          <cell r="I27">
            <v>7597.6088290704829</v>
          </cell>
        </row>
        <row r="28">
          <cell r="F28">
            <v>0</v>
          </cell>
        </row>
        <row r="30">
          <cell r="A30" t="str">
            <v>Rate base</v>
          </cell>
          <cell r="B30">
            <v>18261</v>
          </cell>
          <cell r="C30">
            <v>19297</v>
          </cell>
          <cell r="D30">
            <v>20716</v>
          </cell>
          <cell r="E30">
            <v>22509.583812386278</v>
          </cell>
          <cell r="F30">
            <v>24533.665128025557</v>
          </cell>
          <cell r="G30">
            <v>26572.575616936803</v>
          </cell>
          <cell r="H30">
            <v>28791.46362363156</v>
          </cell>
          <cell r="I30">
            <v>30934.458271973239</v>
          </cell>
        </row>
        <row r="31">
          <cell r="B31">
            <v>0.50301336180932044</v>
          </cell>
          <cell r="C31">
            <v>0.49002824273203094</v>
          </cell>
          <cell r="D31">
            <v>0.49549995172813283</v>
          </cell>
          <cell r="E31">
            <v>0.48922365186185779</v>
          </cell>
          <cell r="F31">
            <v>0.50635752827390368</v>
          </cell>
          <cell r="G31">
            <v>0.52258647063400154</v>
          </cell>
          <cell r="H31">
            <v>0.53464426802477483</v>
          </cell>
          <cell r="I31">
            <v>0.54255311039300047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 val="3_Year_ROIC_Trees1"/>
      <sheetName val="5_Year_ROIC_Trees1"/>
      <sheetName val="Cost_of_Debt_(Industrial)1"/>
      <sheetName val="IBES_Estimates1"/>
      <sheetName val="Risk-Free_Rate1"/>
      <sheetName val="Operating_Leases1"/>
      <sheetName val="ABS_(Adjusted)1"/>
      <sheetName val="ABS_(2)1"/>
      <sheetName val="AHMY_(Adjusted)1"/>
      <sheetName val="AHMY_(2)1"/>
      <sheetName val="BJ_(Adjusted)1"/>
      <sheetName val="BJ_(2)1"/>
      <sheetName val="CAUFM_(Adjusted)_1"/>
      <sheetName val="CAUFM_(2)1"/>
      <sheetName val="COST_(Adjusted)1"/>
      <sheetName val="COST_(2)1"/>
      <sheetName val="DEFI_(Adjusted)_1"/>
      <sheetName val="DEFI_(2)1"/>
      <sheetName val="GAP_(Adjusted)_1"/>
      <sheetName val="GAP_(2)1"/>
      <sheetName val="KM_(Adjusted)1"/>
      <sheetName val="KM_(2)1"/>
      <sheetName val="KR_(Adjusted)1"/>
      <sheetName val="KR_(2)1"/>
      <sheetName val="IMKTA_(Adjusted)_1"/>
      <sheetName val="IMKTA_(2)1"/>
      <sheetName val="METOL_(Adjusted)1"/>
      <sheetName val="METOL_(2)1"/>
      <sheetName val="PUSH_(Adjusted)1"/>
      <sheetName val="PUSH_(2)1"/>
      <sheetName val="RDK_(Adjusted)1"/>
      <sheetName val="RDK_(2)1"/>
      <sheetName val="SAGFO_(Adjusted)_1"/>
      <sheetName val="SAGFO_(2)1"/>
      <sheetName val="SVU_(Adjusted)1"/>
      <sheetName val="SVU_(2)1"/>
      <sheetName val="SWY_(Adjusted)1"/>
      <sheetName val="SWY_(2)1"/>
      <sheetName val="TEPH_(Adjusted)_1"/>
      <sheetName val="TEPH_(2)1"/>
      <sheetName val="WIN_(Adjusted)1"/>
      <sheetName val="WIN_(2)1"/>
      <sheetName val="WMK_(Adjusted)1"/>
      <sheetName val="WMK_(2)1"/>
      <sheetName val="WMT_(Adjusted)1"/>
      <sheetName val="WMT_(2)1"/>
      <sheetName val="3_Year_ROIC_Trees2"/>
      <sheetName val="5_Year_ROIC_Trees2"/>
      <sheetName val="Cost_of_Debt_(Industrial)2"/>
      <sheetName val="IBES_Estimates2"/>
      <sheetName val="Risk-Free_Rate2"/>
      <sheetName val="Operating_Leases2"/>
      <sheetName val="ABS_(Adjusted)2"/>
      <sheetName val="ABS_(2)2"/>
      <sheetName val="AHMY_(Adjusted)2"/>
      <sheetName val="AHMY_(2)2"/>
      <sheetName val="BJ_(Adjusted)2"/>
      <sheetName val="BJ_(2)2"/>
      <sheetName val="CAUFM_(Adjusted)_2"/>
      <sheetName val="CAUFM_(2)2"/>
      <sheetName val="COST_(Adjusted)2"/>
      <sheetName val="COST_(2)2"/>
      <sheetName val="DEFI_(Adjusted)_2"/>
      <sheetName val="DEFI_(2)2"/>
      <sheetName val="GAP_(Adjusted)_2"/>
      <sheetName val="GAP_(2)2"/>
      <sheetName val="KM_(Adjusted)2"/>
      <sheetName val="KM_(2)2"/>
      <sheetName val="KR_(Adjusted)2"/>
      <sheetName val="KR_(2)2"/>
      <sheetName val="IMKTA_(Adjusted)_2"/>
      <sheetName val="IMKTA_(2)2"/>
      <sheetName val="METOL_(Adjusted)2"/>
      <sheetName val="METOL_(2)2"/>
      <sheetName val="PUSH_(Adjusted)2"/>
      <sheetName val="PUSH_(2)2"/>
      <sheetName val="RDK_(Adjusted)2"/>
      <sheetName val="RDK_(2)2"/>
      <sheetName val="SAGFO_(Adjusted)_2"/>
      <sheetName val="SAGFO_(2)2"/>
      <sheetName val="SVU_(Adjusted)2"/>
      <sheetName val="SVU_(2)2"/>
      <sheetName val="SWY_(Adjusted)2"/>
      <sheetName val="SWY_(2)2"/>
      <sheetName val="TEPH_(Adjusted)_2"/>
      <sheetName val="TEPH_(2)2"/>
      <sheetName val="WIN_(Adjusted)2"/>
      <sheetName val="WIN_(2)2"/>
      <sheetName val="WMK_(Adjusted)2"/>
      <sheetName val="WMK_(2)2"/>
      <sheetName val="WMT_(Adjusted)2"/>
      <sheetName val="WMT_(2)2"/>
    </sheetNames>
    <sheetDataSet>
      <sheetData sheetId="0"/>
      <sheetData sheetId="1"/>
      <sheetData sheetId="2"/>
      <sheetData sheetId="3">
        <row r="5">
          <cell r="B5" t="str">
            <v>WMT</v>
          </cell>
        </row>
      </sheetData>
      <sheetData sheetId="4">
        <row r="52">
          <cell r="E52" t="str">
            <v>Without Goodwill</v>
          </cell>
        </row>
      </sheetData>
      <sheetData sheetId="5"/>
      <sheetData sheetId="6"/>
      <sheetData sheetId="7">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sheetData sheetId="9">
        <row r="11">
          <cell r="D11" t="str">
            <v>WMT</v>
          </cell>
        </row>
      </sheetData>
      <sheetData sheetId="10"/>
      <sheetData sheetId="11"/>
      <sheetData sheetId="12"/>
      <sheetData sheetId="13"/>
      <sheetData sheetId="14">
        <row r="14">
          <cell r="B14" t="str">
            <v>Net Sales</v>
          </cell>
        </row>
      </sheetData>
      <sheetData sheetId="15">
        <row r="82">
          <cell r="Z82" t="str">
            <v>Mid-Year ROIC w/o GW</v>
          </cell>
        </row>
      </sheetData>
      <sheetData sheetId="16">
        <row r="637">
          <cell r="B637" t="str">
            <v>ROIC</v>
          </cell>
        </row>
      </sheetData>
      <sheetData sheetId="17">
        <row r="14">
          <cell r="B14" t="str">
            <v>Net Sales</v>
          </cell>
        </row>
      </sheetData>
      <sheetData sheetId="18">
        <row r="82">
          <cell r="Z82" t="str">
            <v>Mid-Year ROIC w/o GW</v>
          </cell>
        </row>
      </sheetData>
      <sheetData sheetId="19">
        <row r="637">
          <cell r="B637" t="str">
            <v>ROIC</v>
          </cell>
        </row>
      </sheetData>
      <sheetData sheetId="20">
        <row r="14">
          <cell r="B14" t="str">
            <v>Net Sales</v>
          </cell>
        </row>
      </sheetData>
      <sheetData sheetId="21">
        <row r="82">
          <cell r="Z82" t="str">
            <v>Mid-Year ROIC w/o GW</v>
          </cell>
        </row>
      </sheetData>
      <sheetData sheetId="22">
        <row r="637">
          <cell r="B637" t="str">
            <v>ROIC</v>
          </cell>
        </row>
      </sheetData>
      <sheetData sheetId="23">
        <row r="14">
          <cell r="B14" t="str">
            <v>Net Sales</v>
          </cell>
        </row>
      </sheetData>
      <sheetData sheetId="24">
        <row r="82">
          <cell r="Z82" t="str">
            <v>Mid-Year ROIC w/o GW</v>
          </cell>
        </row>
      </sheetData>
      <sheetData sheetId="25">
        <row r="637">
          <cell r="B637" t="str">
            <v>ROIC</v>
          </cell>
        </row>
      </sheetData>
      <sheetData sheetId="26">
        <row r="14">
          <cell r="B14" t="str">
            <v>Net Sales</v>
          </cell>
        </row>
      </sheetData>
      <sheetData sheetId="27">
        <row r="82">
          <cell r="Z82" t="str">
            <v>Mid-Year ROIC w/o GW</v>
          </cell>
        </row>
      </sheetData>
      <sheetData sheetId="28">
        <row r="637">
          <cell r="B637" t="str">
            <v>ROIC</v>
          </cell>
        </row>
      </sheetData>
      <sheetData sheetId="29">
        <row r="14">
          <cell r="B14" t="str">
            <v>Net Sales</v>
          </cell>
        </row>
      </sheetData>
      <sheetData sheetId="30">
        <row r="82">
          <cell r="Z82" t="str">
            <v>Mid-Year ROIC w/o GW</v>
          </cell>
        </row>
      </sheetData>
      <sheetData sheetId="31">
        <row r="637">
          <cell r="B637" t="str">
            <v>ROIC</v>
          </cell>
        </row>
      </sheetData>
      <sheetData sheetId="32">
        <row r="14">
          <cell r="B14" t="str">
            <v>Net Sales</v>
          </cell>
        </row>
      </sheetData>
      <sheetData sheetId="33">
        <row r="82">
          <cell r="Z82" t="str">
            <v>Mid-Year ROIC w/o GW</v>
          </cell>
        </row>
      </sheetData>
      <sheetData sheetId="34">
        <row r="637">
          <cell r="B637" t="str">
            <v>ROIC</v>
          </cell>
        </row>
      </sheetData>
      <sheetData sheetId="35">
        <row r="14">
          <cell r="B14" t="str">
            <v>Net Sales</v>
          </cell>
        </row>
      </sheetData>
      <sheetData sheetId="36">
        <row r="82">
          <cell r="Z82" t="str">
            <v>Mid-Year ROIC w/o GW</v>
          </cell>
        </row>
      </sheetData>
      <sheetData sheetId="37">
        <row r="637">
          <cell r="B637" t="str">
            <v>ROIC</v>
          </cell>
        </row>
      </sheetData>
      <sheetData sheetId="38">
        <row r="14">
          <cell r="B14" t="str">
            <v>Net Sales</v>
          </cell>
        </row>
      </sheetData>
      <sheetData sheetId="39">
        <row r="82">
          <cell r="Z82" t="str">
            <v>Mid-Year ROIC w/o GW</v>
          </cell>
        </row>
      </sheetData>
      <sheetData sheetId="40">
        <row r="637">
          <cell r="B637" t="str">
            <v>ROIC</v>
          </cell>
        </row>
      </sheetData>
      <sheetData sheetId="41">
        <row r="14">
          <cell r="B14" t="str">
            <v>Net Sales</v>
          </cell>
        </row>
      </sheetData>
      <sheetData sheetId="42">
        <row r="82">
          <cell r="Z82" t="str">
            <v>Mid-Year ROIC w/o GW</v>
          </cell>
        </row>
      </sheetData>
      <sheetData sheetId="43">
        <row r="578">
          <cell r="I578">
            <v>638.01157331319416</v>
          </cell>
        </row>
      </sheetData>
      <sheetData sheetId="44">
        <row r="14">
          <cell r="B14" t="str">
            <v>Net Sales</v>
          </cell>
        </row>
      </sheetData>
      <sheetData sheetId="45">
        <row r="82">
          <cell r="Z82" t="str">
            <v>Mid-Year ROIC w/o GW</v>
          </cell>
        </row>
      </sheetData>
      <sheetData sheetId="46">
        <row r="637">
          <cell r="B637" t="str">
            <v>ROIC</v>
          </cell>
        </row>
      </sheetData>
      <sheetData sheetId="47">
        <row r="14">
          <cell r="B14" t="str">
            <v>Net Sales</v>
          </cell>
        </row>
      </sheetData>
      <sheetData sheetId="48">
        <row r="82">
          <cell r="Z82" t="str">
            <v>Mid-Year ROIC w/o GW</v>
          </cell>
        </row>
      </sheetData>
      <sheetData sheetId="49">
        <row r="636">
          <cell r="B636" t="str">
            <v>ROIC</v>
          </cell>
        </row>
      </sheetData>
      <sheetData sheetId="50">
        <row r="14">
          <cell r="B14" t="str">
            <v>Net Sales</v>
          </cell>
        </row>
      </sheetData>
      <sheetData sheetId="51">
        <row r="82">
          <cell r="Z82" t="str">
            <v>Mid-Year ROIC w/o GW</v>
          </cell>
        </row>
      </sheetData>
      <sheetData sheetId="52">
        <row r="578">
          <cell r="I578">
            <v>721.97970823114861</v>
          </cell>
        </row>
      </sheetData>
      <sheetData sheetId="53">
        <row r="14">
          <cell r="B14" t="str">
            <v>Net Sales</v>
          </cell>
        </row>
      </sheetData>
      <sheetData sheetId="54">
        <row r="82">
          <cell r="Z82" t="str">
            <v>Mid-Year ROIC w/o GW</v>
          </cell>
        </row>
      </sheetData>
      <sheetData sheetId="55">
        <row r="637">
          <cell r="B637" t="str">
            <v>ROIC</v>
          </cell>
        </row>
      </sheetData>
      <sheetData sheetId="56">
        <row r="14">
          <cell r="B14" t="str">
            <v>Net Sales</v>
          </cell>
        </row>
      </sheetData>
      <sheetData sheetId="57">
        <row r="82">
          <cell r="Z82" t="str">
            <v>Mid-Year ROIC w/o GW</v>
          </cell>
        </row>
      </sheetData>
      <sheetData sheetId="58">
        <row r="637">
          <cell r="B637" t="str">
            <v>ROIC</v>
          </cell>
        </row>
      </sheetData>
      <sheetData sheetId="59">
        <row r="14">
          <cell r="B14" t="str">
            <v>Net Sales</v>
          </cell>
        </row>
      </sheetData>
      <sheetData sheetId="60">
        <row r="13">
          <cell r="AD13">
            <v>1679.8990687479065</v>
          </cell>
        </row>
      </sheetData>
      <sheetData sheetId="61">
        <row r="578">
          <cell r="I578">
            <v>9046.6720141866208</v>
          </cell>
        </row>
      </sheetData>
      <sheetData sheetId="62">
        <row r="14">
          <cell r="B14" t="str">
            <v>Net Sales</v>
          </cell>
        </row>
      </sheetData>
      <sheetData sheetId="63">
        <row r="82">
          <cell r="Z82" t="str">
            <v>Mid-Year ROIC w/o GW</v>
          </cell>
        </row>
      </sheetData>
      <sheetData sheetId="64">
        <row r="637">
          <cell r="B637" t="str">
            <v>ROIC</v>
          </cell>
        </row>
      </sheetData>
      <sheetData sheetId="65">
        <row r="14">
          <cell r="B14" t="str">
            <v>Net Sales</v>
          </cell>
        </row>
      </sheetData>
      <sheetData sheetId="66">
        <row r="82">
          <cell r="Z82" t="str">
            <v>Mid-Year ROIC w/o GW</v>
          </cell>
        </row>
      </sheetData>
      <sheetData sheetId="67">
        <row r="637">
          <cell r="B637" t="str">
            <v>ROIC</v>
          </cell>
        </row>
      </sheetData>
      <sheetData sheetId="68">
        <row r="14">
          <cell r="B14" t="str">
            <v>Net Sales</v>
          </cell>
        </row>
      </sheetData>
      <sheetData sheetId="69">
        <row r="82">
          <cell r="Z82" t="str">
            <v>Mid-Year ROIC w/o GW</v>
          </cell>
        </row>
      </sheetData>
      <sheetData sheetId="70">
        <row r="637">
          <cell r="B637" t="str">
            <v>ROIC</v>
          </cell>
        </row>
      </sheetData>
      <sheetData sheetId="71">
        <row r="14">
          <cell r="B14" t="str">
            <v>Net Sales</v>
          </cell>
        </row>
      </sheetData>
      <sheetData sheetId="72">
        <row r="82">
          <cell r="Z82" t="str">
            <v>Mid-Year ROIC w/o GW</v>
          </cell>
        </row>
      </sheetData>
      <sheetData sheetId="73">
        <row r="637">
          <cell r="B637" t="str">
            <v>ROIC</v>
          </cell>
        </row>
      </sheetData>
      <sheetData sheetId="74"/>
      <sheetData sheetId="75"/>
      <sheetData sheetId="76"/>
      <sheetData sheetId="77"/>
      <sheetData sheetId="78">
        <row r="15">
          <cell r="A1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ow r="5">
          <cell r="B5" t="str">
            <v>WMT</v>
          </cell>
        </row>
      </sheetData>
      <sheetData sheetId="123"/>
      <sheetData sheetId="124">
        <row r="15">
          <cell r="A15"/>
        </row>
      </sheetData>
      <sheetData sheetId="125">
        <row r="11">
          <cell r="D11" t="str">
            <v>WMT</v>
          </cell>
        </row>
      </sheetData>
      <sheetData sheetId="126">
        <row r="82">
          <cell r="Z82" t="str">
            <v>Mid-Year ROIC w/o GW</v>
          </cell>
        </row>
      </sheetData>
      <sheetData sheetId="127">
        <row r="637">
          <cell r="B637" t="str">
            <v>ROIC</v>
          </cell>
        </row>
      </sheetData>
      <sheetData sheetId="128">
        <row r="82">
          <cell r="Z82" t="str">
            <v>Mid-Year ROIC w/o GW</v>
          </cell>
        </row>
      </sheetData>
      <sheetData sheetId="129">
        <row r="637">
          <cell r="B637" t="str">
            <v>ROIC</v>
          </cell>
        </row>
      </sheetData>
      <sheetData sheetId="130">
        <row r="82">
          <cell r="Z82" t="str">
            <v>Mid-Year ROIC w/o GW</v>
          </cell>
        </row>
      </sheetData>
      <sheetData sheetId="131">
        <row r="637">
          <cell r="B637" t="str">
            <v>ROIC</v>
          </cell>
        </row>
      </sheetData>
      <sheetData sheetId="132">
        <row r="82">
          <cell r="Z82" t="str">
            <v>Mid-Year ROIC w/o GW</v>
          </cell>
        </row>
      </sheetData>
      <sheetData sheetId="133">
        <row r="637">
          <cell r="B637" t="str">
            <v>ROIC</v>
          </cell>
        </row>
      </sheetData>
      <sheetData sheetId="134">
        <row r="82">
          <cell r="Z82" t="str">
            <v>Mid-Year ROIC w/o GW</v>
          </cell>
        </row>
      </sheetData>
      <sheetData sheetId="135">
        <row r="637">
          <cell r="B637" t="str">
            <v>ROIC</v>
          </cell>
        </row>
      </sheetData>
      <sheetData sheetId="136">
        <row r="82">
          <cell r="Z82" t="str">
            <v>Mid-Year ROIC w/o GW</v>
          </cell>
        </row>
      </sheetData>
      <sheetData sheetId="137">
        <row r="637">
          <cell r="B637" t="str">
            <v>ROIC</v>
          </cell>
        </row>
      </sheetData>
      <sheetData sheetId="138">
        <row r="82">
          <cell r="Z82" t="str">
            <v>Mid-Year ROIC w/o GW</v>
          </cell>
        </row>
      </sheetData>
      <sheetData sheetId="139">
        <row r="637">
          <cell r="B637" t="str">
            <v>ROIC</v>
          </cell>
        </row>
      </sheetData>
      <sheetData sheetId="140">
        <row r="82">
          <cell r="Z82" t="str">
            <v>Mid-Year ROIC w/o GW</v>
          </cell>
        </row>
      </sheetData>
      <sheetData sheetId="141">
        <row r="637">
          <cell r="B637" t="str">
            <v>ROIC</v>
          </cell>
        </row>
      </sheetData>
      <sheetData sheetId="142">
        <row r="82">
          <cell r="Z82" t="str">
            <v>Mid-Year ROIC w/o GW</v>
          </cell>
        </row>
      </sheetData>
      <sheetData sheetId="143">
        <row r="637">
          <cell r="B637" t="str">
            <v>ROIC</v>
          </cell>
        </row>
      </sheetData>
      <sheetData sheetId="144">
        <row r="82">
          <cell r="Z82" t="str">
            <v>Mid-Year ROIC w/o GW</v>
          </cell>
        </row>
      </sheetData>
      <sheetData sheetId="145">
        <row r="578">
          <cell r="I578">
            <v>638.01157331319416</v>
          </cell>
        </row>
      </sheetData>
      <sheetData sheetId="146">
        <row r="82">
          <cell r="Z82" t="str">
            <v>Mid-Year ROIC w/o GW</v>
          </cell>
        </row>
      </sheetData>
      <sheetData sheetId="147">
        <row r="637">
          <cell r="B637" t="str">
            <v>ROIC</v>
          </cell>
        </row>
      </sheetData>
      <sheetData sheetId="148">
        <row r="82">
          <cell r="Z82" t="str">
            <v>Mid-Year ROIC w/o GW</v>
          </cell>
        </row>
      </sheetData>
      <sheetData sheetId="149">
        <row r="636">
          <cell r="B636" t="str">
            <v>ROIC</v>
          </cell>
        </row>
      </sheetData>
      <sheetData sheetId="150">
        <row r="82">
          <cell r="Z82" t="str">
            <v>Mid-Year ROIC w/o GW</v>
          </cell>
        </row>
      </sheetData>
      <sheetData sheetId="151">
        <row r="578">
          <cell r="I578">
            <v>721.97970823114861</v>
          </cell>
        </row>
      </sheetData>
      <sheetData sheetId="152">
        <row r="82">
          <cell r="Z82" t="str">
            <v>Mid-Year ROIC w/o GW</v>
          </cell>
        </row>
      </sheetData>
      <sheetData sheetId="153">
        <row r="637">
          <cell r="B637" t="str">
            <v>ROIC</v>
          </cell>
        </row>
      </sheetData>
      <sheetData sheetId="154">
        <row r="82">
          <cell r="Z82" t="str">
            <v>Mid-Year ROIC w/o GW</v>
          </cell>
        </row>
      </sheetData>
      <sheetData sheetId="155">
        <row r="637">
          <cell r="B637" t="str">
            <v>ROIC</v>
          </cell>
        </row>
      </sheetData>
      <sheetData sheetId="156">
        <row r="13">
          <cell r="AD13">
            <v>1679.8990687479065</v>
          </cell>
        </row>
      </sheetData>
      <sheetData sheetId="157">
        <row r="578">
          <cell r="I578">
            <v>9046.6720141866208</v>
          </cell>
        </row>
      </sheetData>
      <sheetData sheetId="158">
        <row r="82">
          <cell r="Z82" t="str">
            <v>Mid-Year ROIC w/o GW</v>
          </cell>
        </row>
      </sheetData>
      <sheetData sheetId="159">
        <row r="637">
          <cell r="B637" t="str">
            <v>ROIC</v>
          </cell>
        </row>
      </sheetData>
      <sheetData sheetId="160">
        <row r="82">
          <cell r="Z82" t="str">
            <v>Mid-Year ROIC w/o GW</v>
          </cell>
        </row>
      </sheetData>
      <sheetData sheetId="161">
        <row r="637">
          <cell r="B637" t="str">
            <v>ROIC</v>
          </cell>
        </row>
      </sheetData>
      <sheetData sheetId="162">
        <row r="82">
          <cell r="Z82" t="str">
            <v>Mid-Year ROIC w/o GW</v>
          </cell>
        </row>
      </sheetData>
      <sheetData sheetId="163">
        <row r="637">
          <cell r="B637" t="str">
            <v>ROIC</v>
          </cell>
        </row>
      </sheetData>
      <sheetData sheetId="164">
        <row r="82">
          <cell r="Z82" t="str">
            <v>Mid-Year ROIC w/o GW</v>
          </cell>
        </row>
      </sheetData>
      <sheetData sheetId="165">
        <row r="637">
          <cell r="B637" t="str">
            <v>ROIC</v>
          </cell>
        </row>
      </sheetData>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87"/>
  <sheetViews>
    <sheetView tabSelected="1" zoomScale="85" zoomScaleNormal="85" workbookViewId="0">
      <selection activeCell="C14" sqref="C14"/>
    </sheetView>
  </sheetViews>
  <sheetFormatPr defaultRowHeight="12.75"/>
  <cols>
    <col min="1" max="1" width="8.375" customWidth="1"/>
    <col min="2" max="2" width="41.5" customWidth="1"/>
    <col min="3" max="6" width="14.125" customWidth="1"/>
    <col min="7" max="7" width="40.875" style="34" customWidth="1"/>
    <col min="8" max="8" width="3.5" customWidth="1"/>
    <col min="9" max="9" width="14.125" customWidth="1"/>
  </cols>
  <sheetData>
    <row r="1" spans="1:10" s="746" customFormat="1" ht="56.85" customHeight="1"/>
    <row r="2" spans="1:10" ht="20.25">
      <c r="A2" s="96" t="s">
        <v>0</v>
      </c>
      <c r="B2" s="97"/>
      <c r="C2" s="97"/>
      <c r="D2" s="98"/>
      <c r="E2" s="99"/>
      <c r="F2" s="97"/>
      <c r="G2" s="100"/>
      <c r="H2" s="97"/>
      <c r="I2" s="97"/>
    </row>
    <row r="3" spans="1:10" ht="20.25">
      <c r="A3" s="96" t="str">
        <f>Licensee</f>
        <v>SPT</v>
      </c>
      <c r="B3" s="97"/>
      <c r="C3" s="97"/>
      <c r="D3" s="99"/>
      <c r="E3" s="99"/>
      <c r="F3" s="97"/>
      <c r="G3" s="100"/>
      <c r="H3" s="97"/>
      <c r="I3" s="97"/>
    </row>
    <row r="4" spans="1:10" ht="20.25">
      <c r="A4" s="96" t="s">
        <v>1</v>
      </c>
      <c r="B4" s="97"/>
      <c r="C4" s="97"/>
      <c r="D4" s="99"/>
      <c r="E4" s="99"/>
      <c r="F4" s="97"/>
      <c r="G4" s="100"/>
      <c r="H4" s="97"/>
      <c r="I4" s="97"/>
    </row>
    <row r="5" spans="1:10" ht="20.25">
      <c r="A5" s="172"/>
      <c r="B5" s="173"/>
      <c r="C5" s="173"/>
      <c r="D5" s="174"/>
      <c r="E5" s="174"/>
      <c r="F5" s="173"/>
      <c r="G5" s="314"/>
      <c r="H5" s="173"/>
      <c r="I5" s="173"/>
    </row>
    <row r="6" spans="1:10" ht="14.25">
      <c r="A6" s="7"/>
      <c r="B6" s="227" t="s">
        <v>2</v>
      </c>
      <c r="C6" s="228">
        <v>2022</v>
      </c>
      <c r="D6" s="174"/>
      <c r="E6" s="174"/>
      <c r="H6" s="315"/>
    </row>
    <row r="7" spans="1:10" ht="13.5" customHeight="1">
      <c r="A7" s="7"/>
      <c r="B7" s="227" t="s">
        <v>3</v>
      </c>
      <c r="C7" s="229" t="s">
        <v>89</v>
      </c>
      <c r="D7" s="174"/>
      <c r="E7" s="174"/>
      <c r="F7" s="230"/>
      <c r="G7" s="316" t="s">
        <v>5</v>
      </c>
      <c r="H7" s="315"/>
    </row>
    <row r="8" spans="1:10" ht="13.5" customHeight="1">
      <c r="A8" s="7"/>
      <c r="B8" s="227" t="s">
        <v>6</v>
      </c>
      <c r="C8" s="231" t="str">
        <f>INDEX(Data!$A$56:$A$84,MATCH($C$7,Data!$B$56:$B$84,0),0)&amp;"2"</f>
        <v>ET2</v>
      </c>
      <c r="D8" s="174"/>
      <c r="E8" s="174"/>
      <c r="F8" s="232"/>
      <c r="G8" s="316" t="s">
        <v>7</v>
      </c>
      <c r="H8" s="315"/>
    </row>
    <row r="9" spans="1:10" ht="25.5">
      <c r="A9" s="7"/>
      <c r="B9" s="233" t="s">
        <v>8</v>
      </c>
      <c r="C9" s="234">
        <v>2023</v>
      </c>
      <c r="D9" s="174"/>
      <c r="E9" s="174"/>
      <c r="F9" s="235"/>
      <c r="G9" s="317" t="s">
        <v>9</v>
      </c>
      <c r="H9" s="315"/>
    </row>
    <row r="10" spans="1:10" ht="14.25">
      <c r="A10" s="7"/>
      <c r="B10" s="227" t="s">
        <v>10</v>
      </c>
      <c r="C10" s="234"/>
      <c r="D10" s="174"/>
      <c r="E10" s="174"/>
      <c r="F10" s="236"/>
      <c r="G10" s="316" t="s">
        <v>11</v>
      </c>
      <c r="H10" s="315"/>
    </row>
    <row r="11" spans="1:10" ht="14.25">
      <c r="A11" s="7"/>
      <c r="B11" s="227" t="s">
        <v>12</v>
      </c>
      <c r="C11" s="237"/>
      <c r="D11" s="174"/>
      <c r="E11" s="174"/>
      <c r="F11" s="238"/>
      <c r="G11" s="316" t="s">
        <v>13</v>
      </c>
      <c r="H11" s="315"/>
    </row>
    <row r="12" spans="1:10" ht="14.25">
      <c r="A12" s="7"/>
      <c r="D12" s="174"/>
      <c r="E12" s="174"/>
      <c r="F12" s="239"/>
      <c r="G12" s="316" t="s">
        <v>14</v>
      </c>
      <c r="H12" s="315"/>
    </row>
    <row r="13" spans="1:10" ht="14.25">
      <c r="A13" s="7"/>
      <c r="D13" s="174"/>
      <c r="E13" s="174"/>
      <c r="F13" s="240"/>
      <c r="G13" s="316" t="s">
        <v>15</v>
      </c>
      <c r="H13" s="315"/>
    </row>
    <row r="14" spans="1:10">
      <c r="A14" s="7"/>
      <c r="D14" s="174"/>
      <c r="E14" s="174"/>
      <c r="F14" s="2"/>
      <c r="G14" s="318"/>
    </row>
    <row r="15" spans="1:10">
      <c r="C15" s="174"/>
      <c r="F15" s="174"/>
      <c r="G15"/>
      <c r="H15" s="174"/>
      <c r="J15" s="174"/>
    </row>
    <row r="16" spans="1:10">
      <c r="C16" s="174"/>
      <c r="F16" s="174"/>
      <c r="G16"/>
      <c r="H16" s="174"/>
      <c r="J16" s="174"/>
    </row>
    <row r="17" spans="3:10">
      <c r="C17" s="174"/>
      <c r="F17" s="174"/>
      <c r="G17"/>
      <c r="H17" s="174"/>
      <c r="J17" s="174"/>
    </row>
    <row r="18" spans="3:10">
      <c r="C18" s="174"/>
      <c r="F18" s="174"/>
      <c r="G18"/>
      <c r="H18" s="174"/>
      <c r="J18" s="174"/>
    </row>
    <row r="19" spans="3:10">
      <c r="C19" s="174"/>
      <c r="F19" s="174"/>
      <c r="G19"/>
      <c r="H19" s="174"/>
      <c r="J19" s="174"/>
    </row>
    <row r="20" spans="3:10">
      <c r="C20" s="174"/>
      <c r="F20" s="174"/>
      <c r="G20"/>
      <c r="H20" s="174"/>
      <c r="J20" s="174"/>
    </row>
    <row r="21" spans="3:10">
      <c r="C21" s="174"/>
      <c r="F21" s="174"/>
      <c r="G21"/>
      <c r="H21" s="174"/>
      <c r="J21" s="174"/>
    </row>
    <row r="22" spans="3:10">
      <c r="C22" s="174"/>
      <c r="F22" s="174"/>
      <c r="G22"/>
      <c r="H22" s="174"/>
      <c r="J22" s="174"/>
    </row>
    <row r="23" spans="3:10">
      <c r="C23" s="174"/>
      <c r="F23" s="174"/>
      <c r="G23"/>
      <c r="H23" s="174"/>
      <c r="J23" s="174"/>
    </row>
    <row r="24" spans="3:10">
      <c r="C24" s="174"/>
      <c r="F24" s="174"/>
      <c r="G24"/>
      <c r="H24" s="174"/>
      <c r="J24" s="174"/>
    </row>
    <row r="25" spans="3:10">
      <c r="C25" s="174"/>
      <c r="F25" s="174"/>
      <c r="G25"/>
      <c r="H25" s="174"/>
      <c r="J25" s="174"/>
    </row>
    <row r="26" spans="3:10">
      <c r="C26" s="174"/>
      <c r="F26" s="174"/>
      <c r="G26"/>
      <c r="H26" s="174"/>
      <c r="J26" s="174"/>
    </row>
    <row r="27" spans="3:10">
      <c r="C27" s="174"/>
      <c r="F27" s="174"/>
      <c r="G27"/>
      <c r="H27" s="174"/>
      <c r="J27" s="174"/>
    </row>
    <row r="87" spans="1:1">
      <c r="A87" s="12"/>
    </row>
  </sheetData>
  <mergeCells count="1">
    <mergeCell ref="A1:XFD1"/>
  </mergeCells>
  <pageMargins left="0.70866141732283472" right="0.70866141732283472" top="0.74803149606299213" bottom="0.74803149606299213" header="0.31496062992125984" footer="0.31496062992125984"/>
  <pageSetup scale="48" orientation="portrait" r:id="rId1"/>
  <headerFooter>
    <oddFooter>&amp;C&amp;"Calibri"&amp;11&amp;K000000_x000D_&amp;1#&amp;"Calibri"&amp;12&amp;K008000Internal Use</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Data!$F$16:$L$16</xm:f>
          </x14:formula1>
          <xm:sqref>C9</xm:sqref>
        </x14:dataValidation>
        <x14:dataValidation type="list" allowBlank="1" showInputMessage="1" showErrorMessage="1" xr:uid="{00000000-0002-0000-0000-000001000000}">
          <x14:formula1>
            <xm:f>Data!$B$56:$B$84</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AJ372"/>
  <sheetViews>
    <sheetView zoomScale="85" zoomScaleNormal="85" workbookViewId="0">
      <selection activeCell="F10" sqref="F10"/>
    </sheetView>
  </sheetViews>
  <sheetFormatPr defaultRowHeight="12.75"/>
  <cols>
    <col min="1" max="1" width="10" customWidth="1"/>
    <col min="2" max="2" width="59.125" customWidth="1"/>
    <col min="3" max="3" width="17.75" customWidth="1"/>
    <col min="4" max="4" width="16.875" customWidth="1"/>
    <col min="5" max="5" width="11.75" customWidth="1"/>
    <col min="6" max="6" width="13.125" bestFit="1" customWidth="1"/>
    <col min="7" max="7" width="13.75" customWidth="1"/>
    <col min="8" max="8" width="11.5" bestFit="1" customWidth="1"/>
    <col min="9" max="9" width="11.125" bestFit="1" customWidth="1"/>
    <col min="10" max="10" width="12.375" customWidth="1"/>
    <col min="11" max="11" width="11.25" customWidth="1"/>
    <col min="12" max="12" width="15.875" customWidth="1"/>
    <col min="13" max="13" width="11.875" customWidth="1"/>
    <col min="14" max="14" width="12.75" customWidth="1"/>
  </cols>
  <sheetData>
    <row r="1" spans="1:14" ht="20.25">
      <c r="A1" s="275" t="s">
        <v>16</v>
      </c>
      <c r="B1" s="323"/>
      <c r="C1" s="323"/>
      <c r="D1" s="323"/>
      <c r="E1" s="323"/>
      <c r="F1" s="323"/>
      <c r="G1" s="323"/>
      <c r="H1" s="323"/>
      <c r="I1" s="323"/>
      <c r="J1" s="323"/>
      <c r="K1" s="323"/>
      <c r="L1" s="323"/>
      <c r="M1" s="323"/>
      <c r="N1" s="276"/>
    </row>
    <row r="2" spans="1:14" ht="20.25">
      <c r="A2" s="320" t="str">
        <f>Licensee</f>
        <v>SPT</v>
      </c>
      <c r="B2" s="99"/>
      <c r="C2" s="99"/>
      <c r="D2" s="99"/>
      <c r="E2" s="99"/>
      <c r="F2" s="99"/>
      <c r="G2" s="99"/>
      <c r="H2" s="99"/>
      <c r="I2" s="99"/>
      <c r="J2" s="99"/>
      <c r="K2" s="99"/>
      <c r="L2" s="99"/>
      <c r="M2" s="99"/>
      <c r="N2" s="101"/>
    </row>
    <row r="3" spans="1:14" ht="20.25">
      <c r="A3" s="96">
        <f>Reporting_Year</f>
        <v>2023</v>
      </c>
      <c r="B3" s="241"/>
      <c r="C3" s="241"/>
      <c r="D3" s="241"/>
      <c r="E3" s="241"/>
      <c r="F3" s="241"/>
      <c r="G3" s="241"/>
      <c r="H3" s="241"/>
      <c r="I3" s="241"/>
      <c r="J3" s="241"/>
      <c r="K3" s="241"/>
      <c r="L3" s="241"/>
      <c r="M3" s="241"/>
      <c r="N3" s="102"/>
    </row>
    <row r="6" spans="1:14">
      <c r="B6" s="227" t="s">
        <v>17</v>
      </c>
      <c r="C6" s="244">
        <f>INDEX(O56:U84,MATCH(Licensee,Data!B56:B84,0),MATCH(Reporting_Year,Data!O55:U55,0))</f>
        <v>4.2616093333333334E-2</v>
      </c>
      <c r="F6" s="223" t="s">
        <v>18</v>
      </c>
      <c r="G6" s="34"/>
      <c r="H6" s="219" t="s">
        <v>19</v>
      </c>
      <c r="I6" s="243" t="s">
        <v>20</v>
      </c>
    </row>
    <row r="7" spans="1:14">
      <c r="B7" s="227" t="s">
        <v>21</v>
      </c>
      <c r="C7" s="244">
        <f>SUMIF(Data!$B$55:$B$84,'RFPR cover'!C7,Data!$C$55:$C$84)</f>
        <v>0.51</v>
      </c>
      <c r="F7" s="245">
        <v>0.1</v>
      </c>
      <c r="G7" s="73"/>
      <c r="H7" s="219" t="s">
        <v>22</v>
      </c>
      <c r="I7" s="220" t="s">
        <v>23</v>
      </c>
    </row>
    <row r="8" spans="1:14">
      <c r="B8" s="227" t="s">
        <v>24</v>
      </c>
      <c r="C8" s="242">
        <f>SUMIF(Data!$B$55:$B$84,'RFPR cover'!C7,Data!$D$55:$D$84)</f>
        <v>0.55000000000000004</v>
      </c>
      <c r="H8" s="219" t="s">
        <v>25</v>
      </c>
      <c r="I8" s="220" t="s">
        <v>23</v>
      </c>
    </row>
    <row r="9" spans="1:14">
      <c r="B9" s="147" t="s">
        <v>26</v>
      </c>
      <c r="C9" s="231" t="str">
        <f>INDEX(Data!$F$56:$F$84,MATCH('RFPR cover'!$C$7,Data!$B$56:$B$84,0),0)</f>
        <v>£m 18/19</v>
      </c>
      <c r="H9" s="219" t="s">
        <v>27</v>
      </c>
      <c r="I9" s="220" t="s">
        <v>23</v>
      </c>
    </row>
    <row r="10" spans="1:14">
      <c r="B10" s="147" t="s">
        <v>28</v>
      </c>
      <c r="C10" s="306">
        <v>4.9348088003249071</v>
      </c>
      <c r="H10" s="219" t="s">
        <v>4</v>
      </c>
      <c r="I10" s="220" t="s">
        <v>23</v>
      </c>
    </row>
    <row r="11" spans="1:14">
      <c r="B11" s="147" t="s">
        <v>29</v>
      </c>
      <c r="C11" s="306">
        <v>1.1575477432860892</v>
      </c>
      <c r="H11" s="127"/>
      <c r="I11" s="303"/>
    </row>
    <row r="13" spans="1:14">
      <c r="B13" s="1" t="s">
        <v>30</v>
      </c>
    </row>
    <row r="14" spans="1:14">
      <c r="B14" s="246" t="s">
        <v>31</v>
      </c>
      <c r="C14" s="247" t="str">
        <f t="shared" ref="C14:N14" si="0">IF(VALUE(C16)&lt;=Reporting_Year,"Actual","Forecast")</f>
        <v>Actual</v>
      </c>
      <c r="D14" s="247" t="str">
        <f t="shared" si="0"/>
        <v>Actual</v>
      </c>
      <c r="E14" s="247" t="str">
        <f t="shared" si="0"/>
        <v>Actual</v>
      </c>
      <c r="F14" s="247" t="str">
        <f t="shared" si="0"/>
        <v>Actual</v>
      </c>
      <c r="G14" s="247" t="str">
        <f t="shared" si="0"/>
        <v>Actual</v>
      </c>
      <c r="H14" s="247" t="str">
        <f t="shared" si="0"/>
        <v>Forecast</v>
      </c>
      <c r="I14" s="247" t="str">
        <f t="shared" si="0"/>
        <v>Forecast</v>
      </c>
      <c r="J14" s="247" t="str">
        <f t="shared" si="0"/>
        <v>Forecast</v>
      </c>
      <c r="K14" s="247" t="str">
        <f t="shared" si="0"/>
        <v>Forecast</v>
      </c>
      <c r="L14" s="247" t="str">
        <f t="shared" si="0"/>
        <v>Forecast</v>
      </c>
      <c r="M14" s="247" t="str">
        <f t="shared" si="0"/>
        <v>Forecast</v>
      </c>
      <c r="N14" s="247" t="str">
        <f t="shared" si="0"/>
        <v>Forecast</v>
      </c>
    </row>
    <row r="15" spans="1:14">
      <c r="B15" s="246" t="s">
        <v>32</v>
      </c>
      <c r="C15" s="248">
        <v>43555</v>
      </c>
      <c r="D15" s="249">
        <v>43921</v>
      </c>
      <c r="E15" s="249">
        <v>44286</v>
      </c>
      <c r="F15" s="249">
        <v>44651</v>
      </c>
      <c r="G15" s="249">
        <v>45016</v>
      </c>
      <c r="H15" s="248">
        <v>45382</v>
      </c>
      <c r="I15" s="248">
        <v>45747</v>
      </c>
      <c r="J15" s="248">
        <v>46112</v>
      </c>
      <c r="K15" s="248">
        <v>46477</v>
      </c>
      <c r="L15" s="248">
        <v>46843</v>
      </c>
      <c r="M15" s="248">
        <v>47208</v>
      </c>
      <c r="N15" s="248">
        <v>47573</v>
      </c>
    </row>
    <row r="16" spans="1:14">
      <c r="B16" s="246" t="s">
        <v>33</v>
      </c>
      <c r="C16" s="250">
        <v>2019</v>
      </c>
      <c r="D16" s="251">
        <v>2020</v>
      </c>
      <c r="E16" s="250">
        <v>2021</v>
      </c>
      <c r="F16" s="251">
        <v>2022</v>
      </c>
      <c r="G16" s="250">
        <v>2023</v>
      </c>
      <c r="H16" s="251">
        <v>2024</v>
      </c>
      <c r="I16" s="250">
        <v>2025</v>
      </c>
      <c r="J16" s="251">
        <v>2026</v>
      </c>
      <c r="K16" s="250">
        <v>2027</v>
      </c>
      <c r="L16" s="251">
        <v>2028</v>
      </c>
      <c r="M16" s="250">
        <v>2029</v>
      </c>
      <c r="N16" s="251">
        <v>2030</v>
      </c>
    </row>
    <row r="17" spans="1:23">
      <c r="B17" s="252" t="s">
        <v>34</v>
      </c>
      <c r="C17" s="300">
        <v>283.30833333333334</v>
      </c>
      <c r="D17" s="301">
        <v>290.64166666666665</v>
      </c>
      <c r="E17" s="301">
        <v>294.16666666666669</v>
      </c>
      <c r="F17" s="301">
        <v>307.32821397646848</v>
      </c>
      <c r="G17" s="301">
        <v>334.29358180068937</v>
      </c>
      <c r="H17" s="301">
        <v>352.19102227842103</v>
      </c>
      <c r="I17" s="301">
        <v>354.64573481594039</v>
      </c>
      <c r="J17" s="301">
        <v>355.53563197299758</v>
      </c>
      <c r="K17" s="313">
        <f t="shared" ref="K17:N18" si="1">J17*(1+K$21)</f>
        <v>362.64634461245754</v>
      </c>
      <c r="L17" s="313">
        <f t="shared" si="1"/>
        <v>369.89927150470669</v>
      </c>
      <c r="M17" s="313">
        <f t="shared" si="1"/>
        <v>377.29725693480083</v>
      </c>
      <c r="N17" s="313">
        <f t="shared" si="1"/>
        <v>384.84320207349685</v>
      </c>
    </row>
    <row r="18" spans="1:23">
      <c r="B18" s="246" t="s">
        <v>35</v>
      </c>
      <c r="C18" s="300">
        <v>286.64999999999998</v>
      </c>
      <c r="D18" s="301">
        <v>292.60000000000002</v>
      </c>
      <c r="E18" s="301">
        <v>298.42363263445759</v>
      </c>
      <c r="F18" s="301">
        <v>319.91658048382931</v>
      </c>
      <c r="G18" s="301">
        <v>346.54233410371501</v>
      </c>
      <c r="H18" s="301">
        <v>353.95106879590651</v>
      </c>
      <c r="I18" s="301">
        <v>354.9050917512219</v>
      </c>
      <c r="J18" s="301">
        <v>356.32003748525665</v>
      </c>
      <c r="K18" s="313">
        <f t="shared" si="1"/>
        <v>363.44643823496176</v>
      </c>
      <c r="L18" s="313">
        <f t="shared" si="1"/>
        <v>370.715366999661</v>
      </c>
      <c r="M18" s="313">
        <f t="shared" si="1"/>
        <v>378.12967433965423</v>
      </c>
      <c r="N18" s="313">
        <f t="shared" si="1"/>
        <v>385.69226782644733</v>
      </c>
    </row>
    <row r="19" spans="1:23">
      <c r="A19" s="7"/>
      <c r="B19" s="246" t="s">
        <v>36</v>
      </c>
      <c r="C19" s="171">
        <v>0.19</v>
      </c>
      <c r="D19" s="261">
        <v>0.19</v>
      </c>
      <c r="E19" s="261">
        <v>0.19</v>
      </c>
      <c r="F19" s="261">
        <v>0.19</v>
      </c>
      <c r="G19" s="171">
        <v>0.19</v>
      </c>
      <c r="H19" s="171">
        <v>0.25</v>
      </c>
      <c r="I19" s="171">
        <v>0.25</v>
      </c>
      <c r="J19" s="171">
        <v>0.25</v>
      </c>
      <c r="K19" s="170">
        <v>0.25</v>
      </c>
      <c r="L19" s="170">
        <v>0.25</v>
      </c>
      <c r="M19" s="170">
        <v>0.25</v>
      </c>
      <c r="N19" s="170">
        <v>0.25</v>
      </c>
    </row>
    <row r="20" spans="1:23">
      <c r="A20" s="7"/>
      <c r="B20" s="120" t="s">
        <v>37</v>
      </c>
      <c r="C20" s="302">
        <v>106.43333333333334</v>
      </c>
      <c r="D20" s="302">
        <v>108.24166666666663</v>
      </c>
      <c r="E20" s="302">
        <v>109.10833333333335</v>
      </c>
      <c r="F20" s="302">
        <v>113.11666666666667</v>
      </c>
      <c r="G20" s="302">
        <v>113.11666666666667</v>
      </c>
      <c r="H20" s="302">
        <v>113.11666666666667</v>
      </c>
      <c r="I20" s="302">
        <v>113.11666666666667</v>
      </c>
      <c r="J20" s="302">
        <v>113.11666666666667</v>
      </c>
      <c r="K20" s="313">
        <f>J20*(1+K$21)</f>
        <v>115.379</v>
      </c>
      <c r="L20" s="313">
        <f>K20*(1+L$21)</f>
        <v>117.68658000000001</v>
      </c>
      <c r="M20" s="313">
        <f>L20*(1+M$21)</f>
        <v>120.04031160000001</v>
      </c>
      <c r="N20" s="313">
        <f>M20*(1+N$21)</f>
        <v>122.44111783200002</v>
      </c>
      <c r="U20" s="116"/>
      <c r="V20" s="116"/>
    </row>
    <row r="21" spans="1:23" ht="15">
      <c r="A21" s="7"/>
      <c r="B21" s="246" t="s">
        <v>38</v>
      </c>
      <c r="C21" s="120"/>
      <c r="D21" s="120"/>
      <c r="E21" s="120"/>
      <c r="F21" s="120"/>
      <c r="G21" s="120"/>
      <c r="H21" s="121"/>
      <c r="I21" s="120"/>
      <c r="J21" s="120"/>
      <c r="K21" s="171">
        <v>0.02</v>
      </c>
      <c r="L21" s="171">
        <v>0.02</v>
      </c>
      <c r="M21" s="171">
        <v>0.02</v>
      </c>
      <c r="N21" s="171">
        <v>0.02</v>
      </c>
      <c r="O21" s="134" t="s">
        <v>39</v>
      </c>
      <c r="U21" s="116"/>
      <c r="V21" s="116"/>
    </row>
    <row r="22" spans="1:23" ht="15">
      <c r="A22" s="7"/>
      <c r="B22" s="118"/>
      <c r="C22" s="117"/>
      <c r="D22" s="117"/>
      <c r="E22" s="117"/>
      <c r="F22" s="117"/>
      <c r="G22" s="117"/>
      <c r="U22" s="116"/>
      <c r="V22" s="116"/>
    </row>
    <row r="23" spans="1:23">
      <c r="A23" s="7"/>
      <c r="B23" s="7"/>
      <c r="C23" s="7"/>
      <c r="D23" s="7"/>
      <c r="E23" s="117"/>
      <c r="F23" s="117"/>
      <c r="G23" s="117"/>
      <c r="H23" s="7"/>
      <c r="I23" s="7"/>
      <c r="J23" s="7"/>
      <c r="K23" s="7"/>
      <c r="L23" s="7"/>
      <c r="M23" s="7"/>
      <c r="U23" s="116"/>
      <c r="V23" s="116"/>
    </row>
    <row r="24" spans="1:23">
      <c r="E24" s="113"/>
      <c r="F24" s="113"/>
      <c r="G24" s="114"/>
    </row>
    <row r="25" spans="1:23">
      <c r="E25" s="247" t="str">
        <f>IF(E26&lt;='RFPR cover'!$C$9,"Actuals","Forecast")</f>
        <v>Actuals</v>
      </c>
      <c r="F25" s="247" t="str">
        <f>IF(F26&lt;='RFPR cover'!$C$9,"Actuals","Forecast")</f>
        <v>Actuals</v>
      </c>
      <c r="G25" s="247" t="str">
        <f>IF(G26&lt;='RFPR cover'!$C$9,"Actuals","Forecast")</f>
        <v>Actuals</v>
      </c>
      <c r="H25" s="247" t="str">
        <f>IF(H26&lt;='RFPR cover'!$C$9,"Actuals","Forecast")</f>
        <v>Forecast</v>
      </c>
      <c r="I25" s="247" t="str">
        <f>IF(I26&lt;='RFPR cover'!$C$9,"Actuals","Forecast")</f>
        <v>Forecast</v>
      </c>
      <c r="J25" s="247" t="str">
        <f>IF(J26&lt;='RFPR cover'!$C$9,"Actuals","Forecast")</f>
        <v>Forecast</v>
      </c>
      <c r="K25" s="247" t="str">
        <f>IF(K26&lt;='RFPR cover'!$C$9,"Actuals","Forecast")</f>
        <v>Forecast</v>
      </c>
      <c r="L25" s="247" t="str">
        <f>IF(L26&lt;='RFPR cover'!$C$9,"Actuals","Forecast")</f>
        <v>Forecast</v>
      </c>
    </row>
    <row r="26" spans="1:23" ht="14.25" customHeight="1">
      <c r="E26" s="148">
        <v>2021</v>
      </c>
      <c r="F26" s="149">
        <f t="shared" ref="F26:L26" si="2">E26+1</f>
        <v>2022</v>
      </c>
      <c r="G26" s="149">
        <f t="shared" si="2"/>
        <v>2023</v>
      </c>
      <c r="H26" s="149">
        <f t="shared" si="2"/>
        <v>2024</v>
      </c>
      <c r="I26" s="149">
        <f t="shared" si="2"/>
        <v>2025</v>
      </c>
      <c r="J26" s="149">
        <f t="shared" si="2"/>
        <v>2026</v>
      </c>
      <c r="K26" s="149">
        <f t="shared" si="2"/>
        <v>2027</v>
      </c>
      <c r="L26" s="149">
        <f t="shared" si="2"/>
        <v>2028</v>
      </c>
      <c r="M26" s="10"/>
    </row>
    <row r="27" spans="1:23" ht="48.6" customHeight="1">
      <c r="D27" s="253" t="s">
        <v>40</v>
      </c>
      <c r="E27" s="158">
        <f t="shared" ref="E27:L27" si="3">IF(SectorCov="ED2",G17/INDEX($C$17:$N$17,MATCH($E$16,$C$16:$N$16,0)),E17/INDEX($C$17:$N$17,MATCH($C$16,$C$16:$N$16,0)))</f>
        <v>1.0383269111980469</v>
      </c>
      <c r="F27" s="158">
        <f t="shared" si="3"/>
        <v>1.0847835302284383</v>
      </c>
      <c r="G27" s="158">
        <f t="shared" si="3"/>
        <v>1.1799638149272795</v>
      </c>
      <c r="H27" s="158">
        <f t="shared" si="3"/>
        <v>1.243136825996721</v>
      </c>
      <c r="I27" s="158">
        <f t="shared" si="3"/>
        <v>1.2518012818164204</v>
      </c>
      <c r="J27" s="158">
        <f t="shared" si="3"/>
        <v>1.2549423724669737</v>
      </c>
      <c r="K27" s="158">
        <f t="shared" si="3"/>
        <v>1.2800412199163134</v>
      </c>
      <c r="L27" s="158">
        <f t="shared" si="3"/>
        <v>1.3056420443146395</v>
      </c>
      <c r="M27" s="127"/>
      <c r="N27" s="127"/>
      <c r="O27" s="127"/>
      <c r="P27" s="127"/>
      <c r="Q27" s="127"/>
      <c r="R27" s="127"/>
    </row>
    <row r="28" spans="1:23" ht="58.5" customHeight="1">
      <c r="D28" s="136" t="s">
        <v>41</v>
      </c>
      <c r="E28" s="158">
        <f>INDEX(Data!$C$17:$N$17,MATCH(E$26,Data!$C$16:$N$16,0))/INDEX(Data!$C$17:$N$17,MATCH(E$26-1,Data!$C$16:$N$16,0))</f>
        <v>1.0121283367262093</v>
      </c>
      <c r="F28" s="742">
        <f>INDEX(Data!$C$17:$N$17,MATCH(F$26,Data!$C$16:$N$16,0))/INDEX(Data!$C$17:$N$17,MATCH(F$26-1,Data!$C$16:$N$16,0))</f>
        <v>1.0447418038860117</v>
      </c>
      <c r="G28" s="742">
        <f>INDEX(Data!$C$17:$N$17,MATCH(G$26,Data!$C$16:$N$16,0))/INDEX(Data!$C$17:$N$17,MATCH(G$26-1,Data!$C$16:$N$16,0))</f>
        <v>1.0877412700751437</v>
      </c>
      <c r="H28" s="742">
        <f>INDEX(Data!$C$17:$N$17,MATCH(H$26,Data!$C$16:$N$16,0))/INDEX(Data!$C$17:$N$17,MATCH(H$26-1,Data!$C$16:$N$16,0))</f>
        <v>1.0535380918213451</v>
      </c>
      <c r="I28" s="742">
        <f>INDEX(Data!$C$17:$N$17,MATCH(I$26,Data!$C$16:$N$16,0))/INDEX(Data!$C$17:$N$17,MATCH(I$26-1,Data!$C$16:$N$16,0))</f>
        <v>1.0069698327959615</v>
      </c>
      <c r="J28" s="742">
        <f>INDEX(Data!$C$17:$N$17,MATCH(J$26,Data!$C$16:$N$16,0))/INDEX(Data!$C$17:$N$17,MATCH(J$26-1,Data!$C$16:$N$16,0))</f>
        <v>1.002509256617788</v>
      </c>
      <c r="K28" s="158">
        <f>INDEX(Data!$C$17:$N$17,MATCH(K$26,Data!$C$16:$N$16,0))/INDEX(Data!$C$17:$N$17,MATCH(K$26-1,Data!$C$16:$N$16,0))</f>
        <v>1.02</v>
      </c>
      <c r="L28" s="158">
        <f>INDEX(Data!$C$17:$N$17,MATCH(L$26,Data!$C$16:$N$16,0))/INDEX(Data!$C$17:$N$17,MATCH(L$26-1,Data!$C$16:$N$16,0))</f>
        <v>1.02</v>
      </c>
      <c r="M28" s="127"/>
    </row>
    <row r="29" spans="1:23" ht="71.099999999999994" customHeight="1">
      <c r="A29" s="115"/>
      <c r="D29" s="136" t="s">
        <v>42</v>
      </c>
      <c r="E29" s="158">
        <f>IF(SectorCov="ED2",INDEX(Data!$C$18:$N$18,MATCH(E$26,Data!$C$16:$N$16,0))/Data!$E$17,INDEX(Data!$C$18:$N$18,MATCH(E$26,Data!$C$16:$N$16,0))/Data!$C$17)</f>
        <v>1.0533528227824487</v>
      </c>
      <c r="F29" s="158">
        <f>IF(SectorCov="ED2",INDEX(Data!$C$18:$N$18,MATCH(F$26,Data!$C$16:$N$16,0))/Data!$E$17,INDEX(Data!$C$18:$N$18,MATCH(F$26,Data!$C$16:$N$16,0))/Data!$C$17)</f>
        <v>1.1292169796764278</v>
      </c>
      <c r="G29" s="158">
        <f>IF(SectorCov="ED2",INDEX(Data!$C$18:$N$18,MATCH(G$26,Data!$C$16:$N$16,0))/Data!$E$17,INDEX(Data!$C$18:$N$18,MATCH(G$26,Data!$C$16:$N$16,0))/Data!$C$17)</f>
        <v>1.2231985202354856</v>
      </c>
      <c r="H29" s="158">
        <f>IF(SectorCov="ED2",INDEX(Data!$C$18:$N$18,MATCH(H$26,Data!$C$16:$N$16,0))/Data!$E$17,INDEX(Data!$C$18:$N$18,MATCH(H$26,Data!$C$16:$N$16,0))/Data!$C$17)</f>
        <v>1.2493493030417031</v>
      </c>
      <c r="I29" s="158">
        <f>IF(SectorCov="ED2",INDEX(Data!$C$18:$N$18,MATCH(I$26,Data!$C$16:$N$16,0))/Data!$E$17,INDEX(Data!$C$18:$N$18,MATCH(I$26,Data!$C$16:$N$16,0))/Data!$C$17)</f>
        <v>1.2527167400107841</v>
      </c>
      <c r="J29" s="158">
        <f>IF(SectorCov="ED2",INDEX(Data!$C$18:$N$18,MATCH(J$26,Data!$C$16:$N$16,0))/Data!$E$17,INDEX(Data!$C$18:$N$18,MATCH(J$26,Data!$C$16:$N$16,0))/Data!$C$17)</f>
        <v>1.2577111068103302</v>
      </c>
      <c r="K29" s="158">
        <f>IF(SectorCov="ED2",INDEX(Data!$C$18:$N$18,MATCH(K$26,Data!$C$16:$N$16,0))/Data!$E$17,INDEX(Data!$C$18:$N$18,MATCH(K$26,Data!$C$16:$N$16,0))/Data!$C$17)</f>
        <v>1.2828653289465368</v>
      </c>
      <c r="L29" s="158">
        <f>IF(SectorCov="ED2",INDEX(Data!$C$18:$N$18,MATCH(L$26,Data!$C$16:$N$16,0))/Data!$E$17,INDEX(Data!$C$18:$N$18,MATCH(L$26,Data!$C$16:$N$16,0))/Data!$C$17)</f>
        <v>1.3085226355254675</v>
      </c>
      <c r="M29" s="127"/>
    </row>
    <row r="30" spans="1:23">
      <c r="A30" s="115"/>
      <c r="B30" s="115"/>
      <c r="C30" s="115"/>
      <c r="M30" s="127"/>
      <c r="N30" s="119"/>
      <c r="O30" s="119"/>
      <c r="P30" s="119"/>
      <c r="Q30" s="119"/>
      <c r="R30" s="119"/>
      <c r="S30" s="119"/>
      <c r="T30" s="119"/>
      <c r="U30" s="119"/>
      <c r="V30" s="119"/>
      <c r="W30" s="119"/>
    </row>
    <row r="31" spans="1:23">
      <c r="A31" s="115"/>
      <c r="D31" s="115"/>
      <c r="E31" s="115"/>
      <c r="F31" s="115"/>
      <c r="G31" s="115"/>
      <c r="H31" s="115"/>
      <c r="I31" s="115"/>
      <c r="J31" s="115"/>
      <c r="K31" s="115"/>
      <c r="L31" s="115"/>
      <c r="M31" s="127"/>
    </row>
    <row r="32" spans="1:23">
      <c r="A32" s="115"/>
      <c r="E32" s="133"/>
      <c r="F32" s="133"/>
      <c r="G32" s="133"/>
      <c r="H32" s="133"/>
      <c r="I32" s="133"/>
      <c r="J32" s="133"/>
      <c r="K32" s="133"/>
      <c r="L32" s="133"/>
      <c r="M32" s="127"/>
    </row>
    <row r="33" spans="1:20">
      <c r="B33" s="89"/>
      <c r="C33" s="115"/>
      <c r="D33" s="115"/>
      <c r="E33" s="115"/>
      <c r="F33" s="115"/>
      <c r="G33" s="115"/>
      <c r="H33" s="115"/>
      <c r="I33" s="115"/>
      <c r="J33" s="115"/>
    </row>
    <row r="34" spans="1:20">
      <c r="B34" s="54"/>
      <c r="C34" s="54"/>
      <c r="D34" s="38"/>
      <c r="E34" s="54"/>
      <c r="F34" s="55"/>
      <c r="G34" s="56"/>
      <c r="H34" s="56"/>
      <c r="I34" s="56"/>
      <c r="J34" s="57"/>
      <c r="K34" s="57"/>
      <c r="L34" s="38"/>
      <c r="M34" s="38"/>
      <c r="N34" s="38"/>
      <c r="O34" s="38"/>
      <c r="P34" s="38"/>
      <c r="Q34" s="38"/>
      <c r="R34" s="38"/>
      <c r="S34" s="38"/>
      <c r="T34" s="38"/>
    </row>
    <row r="35" spans="1:20">
      <c r="B35" s="53" t="s">
        <v>43</v>
      </c>
      <c r="C35" s="34"/>
      <c r="I35" s="14"/>
    </row>
    <row r="36" spans="1:20">
      <c r="C36" s="148">
        <f>RIIO_2_start_date</f>
        <v>2022</v>
      </c>
      <c r="D36" s="149">
        <f t="shared" ref="D36" si="4">C36+1</f>
        <v>2023</v>
      </c>
      <c r="E36" s="149">
        <f t="shared" ref="E36" si="5">D36+1</f>
        <v>2024</v>
      </c>
      <c r="F36" s="149">
        <f t="shared" ref="F36" si="6">E36+1</f>
        <v>2025</v>
      </c>
      <c r="G36" s="149">
        <f t="shared" ref="G36" si="7">F36+1</f>
        <v>2026</v>
      </c>
      <c r="H36" s="149">
        <f t="shared" ref="H36" si="8">G36+1</f>
        <v>2027</v>
      </c>
      <c r="I36" s="149">
        <f t="shared" ref="I36" si="9">H36+1</f>
        <v>2028</v>
      </c>
      <c r="J36" s="149">
        <f t="shared" ref="J36" si="10">I36+1</f>
        <v>2029</v>
      </c>
    </row>
    <row r="37" spans="1:20">
      <c r="B37" s="146" t="s">
        <v>44</v>
      </c>
      <c r="C37" s="137"/>
      <c r="D37" s="138"/>
      <c r="E37" s="129"/>
      <c r="F37" s="129"/>
      <c r="G37" s="129"/>
      <c r="H37" s="129"/>
      <c r="I37" s="130"/>
    </row>
    <row r="38" spans="1:20">
      <c r="A38" s="122"/>
      <c r="B38" s="140" t="s">
        <v>45</v>
      </c>
      <c r="C38" s="139"/>
      <c r="D38" s="74"/>
      <c r="E38" s="131"/>
      <c r="F38" s="131"/>
      <c r="G38" s="131"/>
      <c r="H38" s="131"/>
      <c r="I38" s="52"/>
    </row>
    <row r="39" spans="1:20">
      <c r="A39" s="122"/>
      <c r="B39" s="140" t="s">
        <v>46</v>
      </c>
      <c r="C39" s="140">
        <v>1.8194982985475096E-2</v>
      </c>
      <c r="D39" s="131">
        <v>1.5793417632087442E-2</v>
      </c>
      <c r="E39" s="131">
        <v>1.8153286579427653E-2</v>
      </c>
      <c r="F39" s="131">
        <v>2.1523139345184805E-2</v>
      </c>
      <c r="G39" s="131">
        <v>2.4217276024073559E-2</v>
      </c>
      <c r="H39" s="74"/>
      <c r="I39" s="141"/>
    </row>
    <row r="40" spans="1:20">
      <c r="A40" s="123"/>
      <c r="B40" s="140" t="s">
        <v>47</v>
      </c>
      <c r="C40" s="140">
        <v>2.0500000000000001E-2</v>
      </c>
      <c r="D40" s="131">
        <v>1.9E-2</v>
      </c>
      <c r="E40" s="131">
        <v>1.9199999999999998E-2</v>
      </c>
      <c r="F40" s="131">
        <v>2.06E-2</v>
      </c>
      <c r="G40" s="131">
        <v>2.1999999999999999E-2</v>
      </c>
      <c r="H40" s="74"/>
      <c r="I40" s="141"/>
      <c r="N40" s="103"/>
      <c r="O40" s="103"/>
      <c r="P40" s="103"/>
      <c r="Q40" s="103"/>
      <c r="R40" s="103"/>
    </row>
    <row r="41" spans="1:20">
      <c r="A41" s="122"/>
      <c r="B41" s="140" t="s">
        <v>25</v>
      </c>
      <c r="C41" s="140">
        <v>2.0500000000000001E-2</v>
      </c>
      <c r="D41" s="131">
        <v>1.9E-2</v>
      </c>
      <c r="E41" s="131">
        <v>1.9199999999999998E-2</v>
      </c>
      <c r="F41" s="131">
        <v>2.06E-2</v>
      </c>
      <c r="G41" s="131">
        <v>2.1999999999999999E-2</v>
      </c>
      <c r="H41" s="74"/>
      <c r="I41" s="141"/>
    </row>
    <row r="42" spans="1:20">
      <c r="A42" s="122"/>
      <c r="B42" s="140" t="s">
        <v>48</v>
      </c>
      <c r="C42" s="140">
        <v>2.1100000000000001E-2</v>
      </c>
      <c r="D42" s="131">
        <v>1.9599999999999999E-2</v>
      </c>
      <c r="E42" s="131">
        <v>1.9799999999999998E-2</v>
      </c>
      <c r="F42" s="131">
        <v>2.12E-2</v>
      </c>
      <c r="G42" s="131">
        <v>2.2599999999999999E-2</v>
      </c>
      <c r="H42" s="74"/>
      <c r="I42" s="141"/>
    </row>
    <row r="43" spans="1:20">
      <c r="A43" s="122"/>
      <c r="B43" s="140" t="s">
        <v>27</v>
      </c>
      <c r="C43" s="140">
        <v>2.0500000000000001E-2</v>
      </c>
      <c r="D43" s="131">
        <v>1.9E-2</v>
      </c>
      <c r="E43" s="131">
        <v>1.9199999999999998E-2</v>
      </c>
      <c r="F43" s="131">
        <v>2.06E-2</v>
      </c>
      <c r="G43" s="131">
        <v>2.1999999999999999E-2</v>
      </c>
      <c r="H43" s="74"/>
      <c r="I43" s="141"/>
    </row>
    <row r="44" spans="1:20">
      <c r="A44" s="122"/>
      <c r="B44" s="142" t="s">
        <v>4</v>
      </c>
      <c r="C44" s="142">
        <v>-5.9999999999999995E-4</v>
      </c>
      <c r="D44" s="143">
        <v>2.1399999999999999E-2</v>
      </c>
      <c r="E44" s="143">
        <v>4.7800000000000002E-2</v>
      </c>
      <c r="F44" s="143">
        <v>4.5699999999999998E-2</v>
      </c>
      <c r="G44" s="143">
        <v>4.1599999999999998E-2</v>
      </c>
      <c r="H44" s="144"/>
      <c r="I44" s="145"/>
    </row>
    <row r="45" spans="1:20">
      <c r="H45" s="14"/>
    </row>
    <row r="46" spans="1:20">
      <c r="B46" s="53" t="s">
        <v>49</v>
      </c>
      <c r="C46" s="34"/>
      <c r="I46" s="14"/>
    </row>
    <row r="47" spans="1:20">
      <c r="A47" s="12" t="s">
        <v>6</v>
      </c>
      <c r="C47" s="148">
        <f>RIIO_2_start_date</f>
        <v>2022</v>
      </c>
      <c r="D47" s="149">
        <f t="shared" ref="D47:J47" si="11">C47+1</f>
        <v>2023</v>
      </c>
      <c r="E47" s="149">
        <f t="shared" si="11"/>
        <v>2024</v>
      </c>
      <c r="F47" s="149">
        <f t="shared" si="11"/>
        <v>2025</v>
      </c>
      <c r="G47" s="149">
        <f t="shared" si="11"/>
        <v>2026</v>
      </c>
      <c r="H47" s="149">
        <f t="shared" si="11"/>
        <v>2027</v>
      </c>
      <c r="I47" s="149">
        <f t="shared" si="11"/>
        <v>2028</v>
      </c>
      <c r="J47" s="149">
        <f t="shared" si="11"/>
        <v>2029</v>
      </c>
    </row>
    <row r="48" spans="1:20">
      <c r="A48" s="12" t="s">
        <v>50</v>
      </c>
      <c r="B48" s="140" t="s">
        <v>19</v>
      </c>
      <c r="C48" s="139"/>
      <c r="D48" s="74"/>
      <c r="E48" s="131"/>
      <c r="F48" s="131"/>
      <c r="G48" s="131"/>
      <c r="H48" s="131"/>
      <c r="I48" s="52"/>
    </row>
    <row r="49" spans="1:23">
      <c r="A49" s="12" t="s">
        <v>51</v>
      </c>
      <c r="B49" s="140" t="s">
        <v>22</v>
      </c>
      <c r="C49" s="140">
        <v>4.2439449777777784E-2</v>
      </c>
      <c r="D49" s="131">
        <v>4.2616093333333334E-2</v>
      </c>
      <c r="E49" s="131">
        <v>4.909683911111111E-2</v>
      </c>
      <c r="F49" s="131">
        <v>4.8823256888888882E-2</v>
      </c>
      <c r="G49" s="131">
        <v>4.9129010666666667E-2</v>
      </c>
      <c r="H49" s="74"/>
      <c r="I49" s="141"/>
      <c r="N49" s="103"/>
      <c r="O49" s="103"/>
      <c r="P49" s="103"/>
      <c r="Q49" s="103"/>
      <c r="R49" s="103"/>
    </row>
    <row r="50" spans="1:23">
      <c r="A50" s="12" t="s">
        <v>52</v>
      </c>
      <c r="B50" s="140" t="s">
        <v>25</v>
      </c>
      <c r="C50" s="140">
        <v>4.5181881000000007E-2</v>
      </c>
      <c r="D50" s="131">
        <v>4.5568105000000005E-2</v>
      </c>
      <c r="E50" s="131">
        <v>5.2833944000000001E-2</v>
      </c>
      <c r="F50" s="131">
        <v>5.2351163999999999E-2</v>
      </c>
      <c r="G50" s="131">
        <v>5.2520137000000001E-2</v>
      </c>
      <c r="H50" s="74"/>
      <c r="I50" s="141"/>
    </row>
    <row r="51" spans="1:23">
      <c r="A51" s="12" t="s">
        <v>53</v>
      </c>
      <c r="B51" s="140" t="s">
        <v>27</v>
      </c>
      <c r="C51" s="262">
        <v>4.5181881000000007E-2</v>
      </c>
      <c r="D51" s="263">
        <v>4.5568105000000005E-2</v>
      </c>
      <c r="E51" s="263">
        <v>5.2833944000000001E-2</v>
      </c>
      <c r="F51" s="263">
        <v>5.2351163999999999E-2</v>
      </c>
      <c r="G51" s="263">
        <v>5.2520137000000001E-2</v>
      </c>
      <c r="H51" s="74"/>
      <c r="I51" s="141"/>
    </row>
    <row r="52" spans="1:23">
      <c r="A52" s="12" t="s">
        <v>54</v>
      </c>
      <c r="B52" s="142" t="s">
        <v>4</v>
      </c>
      <c r="C52" s="264">
        <v>7.5718976000000007E-2</v>
      </c>
      <c r="D52" s="264">
        <v>7.5510080000000007E-2</v>
      </c>
      <c r="E52" s="264">
        <v>7.1580223999999998E-2</v>
      </c>
      <c r="F52" s="264">
        <v>7.1841344000000001E-2</v>
      </c>
      <c r="G52" s="264">
        <v>7.1749952000000006E-2</v>
      </c>
      <c r="H52" s="183"/>
      <c r="I52" s="145"/>
    </row>
    <row r="53" spans="1:23" ht="13.5" thickBot="1">
      <c r="A53" s="122"/>
      <c r="B53" s="181"/>
      <c r="C53" s="181"/>
      <c r="D53" s="181"/>
      <c r="E53" s="181"/>
      <c r="F53" s="181"/>
      <c r="G53" s="181"/>
      <c r="H53" s="182"/>
      <c r="I53" s="182"/>
    </row>
    <row r="54" spans="1:23" s="119" customFormat="1" ht="39" thickBot="1">
      <c r="A54"/>
      <c r="B54" s="3"/>
      <c r="C54" s="217" t="s">
        <v>55</v>
      </c>
      <c r="D54" s="217" t="s">
        <v>56</v>
      </c>
      <c r="E54" s="217" t="s">
        <v>57</v>
      </c>
      <c r="F54" s="217" t="s">
        <v>58</v>
      </c>
      <c r="G54" s="218" t="s">
        <v>59</v>
      </c>
      <c r="H54" s="767" t="s">
        <v>60</v>
      </c>
      <c r="I54" s="768"/>
      <c r="J54" s="768"/>
      <c r="K54" s="768"/>
      <c r="L54" s="768"/>
      <c r="M54" s="768"/>
      <c r="N54" s="769"/>
      <c r="O54" s="767" t="s">
        <v>61</v>
      </c>
      <c r="P54" s="768"/>
      <c r="Q54" s="768"/>
      <c r="R54" s="768"/>
      <c r="S54" s="768"/>
      <c r="T54" s="768"/>
      <c r="U54" s="769"/>
      <c r="V54"/>
      <c r="W54"/>
    </row>
    <row r="55" spans="1:23" ht="13.5" thickBot="1">
      <c r="A55" s="48" t="s">
        <v>6</v>
      </c>
      <c r="B55" s="212" t="s">
        <v>62</v>
      </c>
      <c r="C55" s="213"/>
      <c r="D55" s="213"/>
      <c r="E55" s="214"/>
      <c r="F55" s="215"/>
      <c r="G55" s="216"/>
      <c r="H55" s="193">
        <v>2022</v>
      </c>
      <c r="I55" s="194">
        <f t="shared" ref="I55:N55" si="12">H55+1</f>
        <v>2023</v>
      </c>
      <c r="J55" s="194">
        <f t="shared" si="12"/>
        <v>2024</v>
      </c>
      <c r="K55" s="195">
        <f t="shared" si="12"/>
        <v>2025</v>
      </c>
      <c r="L55" s="195">
        <f t="shared" si="12"/>
        <v>2026</v>
      </c>
      <c r="M55" s="195">
        <f t="shared" si="12"/>
        <v>2027</v>
      </c>
      <c r="N55" s="196">
        <f t="shared" si="12"/>
        <v>2028</v>
      </c>
      <c r="O55" s="193">
        <v>2022</v>
      </c>
      <c r="P55" s="194">
        <f t="shared" ref="P55:U55" si="13">O55+1</f>
        <v>2023</v>
      </c>
      <c r="Q55" s="194">
        <f t="shared" si="13"/>
        <v>2024</v>
      </c>
      <c r="R55" s="195">
        <f t="shared" si="13"/>
        <v>2025</v>
      </c>
      <c r="S55" s="195">
        <f t="shared" si="13"/>
        <v>2026</v>
      </c>
      <c r="T55" s="195">
        <f t="shared" si="13"/>
        <v>2027</v>
      </c>
      <c r="U55" s="196">
        <f t="shared" si="13"/>
        <v>2028</v>
      </c>
    </row>
    <row r="56" spans="1:23">
      <c r="A56" s="12" t="s">
        <v>19</v>
      </c>
      <c r="B56" s="202" t="s">
        <v>63</v>
      </c>
      <c r="C56" s="199"/>
      <c r="D56" s="199"/>
      <c r="E56" s="203">
        <v>2024</v>
      </c>
      <c r="F56" s="204" t="str">
        <f t="shared" ref="F56:F84" si="14">VLOOKUP($A56,$H$6:$I$10,2,FALSE)</f>
        <v>£m 20/21</v>
      </c>
      <c r="G56" s="205" t="s">
        <v>45</v>
      </c>
      <c r="H56" s="197"/>
      <c r="I56" s="198"/>
      <c r="J56" s="199">
        <f t="shared" ref="J56:N69" si="15">INDEX($C$37:$I$44,MATCH($G56,$B$37:$B$44,0),MATCH(J$55,$C$36:$I$36))</f>
        <v>0</v>
      </c>
      <c r="K56" s="199">
        <f t="shared" si="15"/>
        <v>0</v>
      </c>
      <c r="L56" s="199">
        <f t="shared" si="15"/>
        <v>0</v>
      </c>
      <c r="M56" s="200">
        <f t="shared" si="15"/>
        <v>0</v>
      </c>
      <c r="N56" s="201">
        <f t="shared" si="15"/>
        <v>0</v>
      </c>
      <c r="O56" s="184"/>
      <c r="P56" s="138"/>
      <c r="Q56" s="129">
        <f t="shared" ref="Q56:U69" si="16">INDEX($C$48:$I$52,MATCH($A56,$B$48:$B$52,0),MATCH(Q$55,$C$47:$I$47))</f>
        <v>0</v>
      </c>
      <c r="R56" s="129">
        <f t="shared" si="16"/>
        <v>0</v>
      </c>
      <c r="S56" s="129">
        <f t="shared" si="16"/>
        <v>0</v>
      </c>
      <c r="T56" s="155">
        <f t="shared" si="16"/>
        <v>0</v>
      </c>
      <c r="U56" s="185">
        <f t="shared" si="16"/>
        <v>0</v>
      </c>
    </row>
    <row r="57" spans="1:23">
      <c r="A57" s="12" t="s">
        <v>19</v>
      </c>
      <c r="B57" s="206" t="s">
        <v>64</v>
      </c>
      <c r="C57" s="131"/>
      <c r="D57" s="131"/>
      <c r="E57" s="49">
        <v>2024</v>
      </c>
      <c r="F57" s="50" t="str">
        <f t="shared" si="14"/>
        <v>£m 20/21</v>
      </c>
      <c r="G57" s="207" t="s">
        <v>45</v>
      </c>
      <c r="H57" s="186"/>
      <c r="I57" s="74"/>
      <c r="J57" s="131">
        <f t="shared" si="15"/>
        <v>0</v>
      </c>
      <c r="K57" s="131">
        <f t="shared" si="15"/>
        <v>0</v>
      </c>
      <c r="L57" s="131">
        <f t="shared" si="15"/>
        <v>0</v>
      </c>
      <c r="M57" s="155">
        <f t="shared" si="15"/>
        <v>0</v>
      </c>
      <c r="N57" s="185">
        <f t="shared" si="15"/>
        <v>0</v>
      </c>
      <c r="O57" s="186"/>
      <c r="P57" s="74"/>
      <c r="Q57" s="131">
        <f t="shared" si="16"/>
        <v>0</v>
      </c>
      <c r="R57" s="131">
        <f t="shared" si="16"/>
        <v>0</v>
      </c>
      <c r="S57" s="131">
        <f t="shared" si="16"/>
        <v>0</v>
      </c>
      <c r="T57" s="155">
        <f t="shared" si="16"/>
        <v>0</v>
      </c>
      <c r="U57" s="185">
        <f t="shared" si="16"/>
        <v>0</v>
      </c>
    </row>
    <row r="58" spans="1:23">
      <c r="A58" s="12" t="s">
        <v>19</v>
      </c>
      <c r="B58" s="206" t="s">
        <v>65</v>
      </c>
      <c r="C58" s="131"/>
      <c r="D58" s="131"/>
      <c r="E58" s="49">
        <v>2024</v>
      </c>
      <c r="F58" s="50" t="str">
        <f t="shared" si="14"/>
        <v>£m 20/21</v>
      </c>
      <c r="G58" s="207" t="s">
        <v>45</v>
      </c>
      <c r="H58" s="186"/>
      <c r="I58" s="74"/>
      <c r="J58" s="131">
        <f t="shared" si="15"/>
        <v>0</v>
      </c>
      <c r="K58" s="131">
        <f t="shared" si="15"/>
        <v>0</v>
      </c>
      <c r="L58" s="131">
        <f t="shared" si="15"/>
        <v>0</v>
      </c>
      <c r="M58" s="155">
        <f t="shared" si="15"/>
        <v>0</v>
      </c>
      <c r="N58" s="185">
        <f t="shared" si="15"/>
        <v>0</v>
      </c>
      <c r="O58" s="186"/>
      <c r="P58" s="74"/>
      <c r="Q58" s="131">
        <f t="shared" si="16"/>
        <v>0</v>
      </c>
      <c r="R58" s="131">
        <f t="shared" si="16"/>
        <v>0</v>
      </c>
      <c r="S58" s="131">
        <f t="shared" si="16"/>
        <v>0</v>
      </c>
      <c r="T58" s="155">
        <f t="shared" si="16"/>
        <v>0</v>
      </c>
      <c r="U58" s="185">
        <f t="shared" si="16"/>
        <v>0</v>
      </c>
    </row>
    <row r="59" spans="1:23">
      <c r="A59" s="12" t="s">
        <v>19</v>
      </c>
      <c r="B59" s="206" t="s">
        <v>66</v>
      </c>
      <c r="C59" s="131"/>
      <c r="D59" s="131"/>
      <c r="E59" s="49">
        <v>2024</v>
      </c>
      <c r="F59" s="50" t="str">
        <f t="shared" si="14"/>
        <v>£m 20/21</v>
      </c>
      <c r="G59" s="207" t="s">
        <v>45</v>
      </c>
      <c r="H59" s="186"/>
      <c r="I59" s="74"/>
      <c r="J59" s="131">
        <f t="shared" si="15"/>
        <v>0</v>
      </c>
      <c r="K59" s="131">
        <f t="shared" si="15"/>
        <v>0</v>
      </c>
      <c r="L59" s="131">
        <f t="shared" si="15"/>
        <v>0</v>
      </c>
      <c r="M59" s="155">
        <f t="shared" si="15"/>
        <v>0</v>
      </c>
      <c r="N59" s="185">
        <f t="shared" si="15"/>
        <v>0</v>
      </c>
      <c r="O59" s="186"/>
      <c r="P59" s="74"/>
      <c r="Q59" s="131">
        <f t="shared" si="16"/>
        <v>0</v>
      </c>
      <c r="R59" s="131">
        <f t="shared" si="16"/>
        <v>0</v>
      </c>
      <c r="S59" s="131">
        <f t="shared" si="16"/>
        <v>0</v>
      </c>
      <c r="T59" s="155">
        <f t="shared" si="16"/>
        <v>0</v>
      </c>
      <c r="U59" s="185">
        <f t="shared" si="16"/>
        <v>0</v>
      </c>
    </row>
    <row r="60" spans="1:23">
      <c r="A60" s="12" t="s">
        <v>19</v>
      </c>
      <c r="B60" s="206" t="s">
        <v>67</v>
      </c>
      <c r="C60" s="131"/>
      <c r="D60" s="131"/>
      <c r="E60" s="49">
        <v>2024</v>
      </c>
      <c r="F60" s="50" t="str">
        <f t="shared" si="14"/>
        <v>£m 20/21</v>
      </c>
      <c r="G60" s="207" t="s">
        <v>45</v>
      </c>
      <c r="H60" s="186"/>
      <c r="I60" s="74"/>
      <c r="J60" s="131">
        <f t="shared" si="15"/>
        <v>0</v>
      </c>
      <c r="K60" s="131">
        <f t="shared" si="15"/>
        <v>0</v>
      </c>
      <c r="L60" s="131">
        <f t="shared" si="15"/>
        <v>0</v>
      </c>
      <c r="M60" s="155">
        <f t="shared" si="15"/>
        <v>0</v>
      </c>
      <c r="N60" s="185">
        <f t="shared" si="15"/>
        <v>0</v>
      </c>
      <c r="O60" s="186"/>
      <c r="P60" s="74"/>
      <c r="Q60" s="131">
        <f t="shared" si="16"/>
        <v>0</v>
      </c>
      <c r="R60" s="131">
        <f t="shared" si="16"/>
        <v>0</v>
      </c>
      <c r="S60" s="131">
        <f t="shared" si="16"/>
        <v>0</v>
      </c>
      <c r="T60" s="155">
        <f t="shared" si="16"/>
        <v>0</v>
      </c>
      <c r="U60" s="185">
        <f t="shared" si="16"/>
        <v>0</v>
      </c>
    </row>
    <row r="61" spans="1:23">
      <c r="A61" s="12" t="s">
        <v>19</v>
      </c>
      <c r="B61" s="206" t="s">
        <v>68</v>
      </c>
      <c r="C61" s="131"/>
      <c r="D61" s="131"/>
      <c r="E61" s="49">
        <v>2024</v>
      </c>
      <c r="F61" s="50" t="str">
        <f t="shared" si="14"/>
        <v>£m 20/21</v>
      </c>
      <c r="G61" s="207" t="s">
        <v>45</v>
      </c>
      <c r="H61" s="186"/>
      <c r="I61" s="74"/>
      <c r="J61" s="131">
        <f t="shared" si="15"/>
        <v>0</v>
      </c>
      <c r="K61" s="131">
        <f t="shared" si="15"/>
        <v>0</v>
      </c>
      <c r="L61" s="131">
        <f t="shared" si="15"/>
        <v>0</v>
      </c>
      <c r="M61" s="155">
        <f t="shared" si="15"/>
        <v>0</v>
      </c>
      <c r="N61" s="185">
        <f t="shared" si="15"/>
        <v>0</v>
      </c>
      <c r="O61" s="186"/>
      <c r="P61" s="74"/>
      <c r="Q61" s="131">
        <f t="shared" si="16"/>
        <v>0</v>
      </c>
      <c r="R61" s="131">
        <f t="shared" si="16"/>
        <v>0</v>
      </c>
      <c r="S61" s="131">
        <f t="shared" si="16"/>
        <v>0</v>
      </c>
      <c r="T61" s="155">
        <f t="shared" si="16"/>
        <v>0</v>
      </c>
      <c r="U61" s="185">
        <f t="shared" si="16"/>
        <v>0</v>
      </c>
    </row>
    <row r="62" spans="1:23">
      <c r="A62" s="12" t="s">
        <v>19</v>
      </c>
      <c r="B62" s="206" t="s">
        <v>69</v>
      </c>
      <c r="C62" s="131"/>
      <c r="D62" s="131"/>
      <c r="E62" s="49">
        <v>2024</v>
      </c>
      <c r="F62" s="50" t="str">
        <f t="shared" si="14"/>
        <v>£m 20/21</v>
      </c>
      <c r="G62" s="207" t="s">
        <v>45</v>
      </c>
      <c r="H62" s="186"/>
      <c r="I62" s="74"/>
      <c r="J62" s="131">
        <f t="shared" si="15"/>
        <v>0</v>
      </c>
      <c r="K62" s="131">
        <f t="shared" si="15"/>
        <v>0</v>
      </c>
      <c r="L62" s="131">
        <f t="shared" si="15"/>
        <v>0</v>
      </c>
      <c r="M62" s="155">
        <f t="shared" si="15"/>
        <v>0</v>
      </c>
      <c r="N62" s="185">
        <f t="shared" si="15"/>
        <v>0</v>
      </c>
      <c r="O62" s="186"/>
      <c r="P62" s="74"/>
      <c r="Q62" s="131">
        <f t="shared" si="16"/>
        <v>0</v>
      </c>
      <c r="R62" s="131">
        <f t="shared" si="16"/>
        <v>0</v>
      </c>
      <c r="S62" s="131">
        <f t="shared" si="16"/>
        <v>0</v>
      </c>
      <c r="T62" s="155">
        <f t="shared" si="16"/>
        <v>0</v>
      </c>
      <c r="U62" s="185">
        <f t="shared" si="16"/>
        <v>0</v>
      </c>
    </row>
    <row r="63" spans="1:23">
      <c r="A63" s="12" t="s">
        <v>19</v>
      </c>
      <c r="B63" s="206" t="s">
        <v>70</v>
      </c>
      <c r="C63" s="131"/>
      <c r="D63" s="131"/>
      <c r="E63" s="49">
        <v>2024</v>
      </c>
      <c r="F63" s="50" t="str">
        <f t="shared" si="14"/>
        <v>£m 20/21</v>
      </c>
      <c r="G63" s="207" t="s">
        <v>45</v>
      </c>
      <c r="H63" s="186"/>
      <c r="I63" s="74"/>
      <c r="J63" s="131">
        <f t="shared" si="15"/>
        <v>0</v>
      </c>
      <c r="K63" s="131">
        <f t="shared" si="15"/>
        <v>0</v>
      </c>
      <c r="L63" s="131">
        <f t="shared" si="15"/>
        <v>0</v>
      </c>
      <c r="M63" s="155">
        <f t="shared" si="15"/>
        <v>0</v>
      </c>
      <c r="N63" s="185">
        <f t="shared" si="15"/>
        <v>0</v>
      </c>
      <c r="O63" s="186"/>
      <c r="P63" s="74"/>
      <c r="Q63" s="131">
        <f t="shared" si="16"/>
        <v>0</v>
      </c>
      <c r="R63" s="131">
        <f t="shared" si="16"/>
        <v>0</v>
      </c>
      <c r="S63" s="131">
        <f t="shared" si="16"/>
        <v>0</v>
      </c>
      <c r="T63" s="155">
        <f t="shared" si="16"/>
        <v>0</v>
      </c>
      <c r="U63" s="185">
        <f t="shared" si="16"/>
        <v>0</v>
      </c>
    </row>
    <row r="64" spans="1:23">
      <c r="A64" s="12" t="s">
        <v>19</v>
      </c>
      <c r="B64" s="206" t="s">
        <v>71</v>
      </c>
      <c r="C64" s="131"/>
      <c r="D64" s="131"/>
      <c r="E64" s="49">
        <v>2024</v>
      </c>
      <c r="F64" s="50" t="str">
        <f t="shared" si="14"/>
        <v>£m 20/21</v>
      </c>
      <c r="G64" s="207" t="s">
        <v>45</v>
      </c>
      <c r="H64" s="186"/>
      <c r="I64" s="74"/>
      <c r="J64" s="131">
        <f t="shared" si="15"/>
        <v>0</v>
      </c>
      <c r="K64" s="131">
        <f t="shared" si="15"/>
        <v>0</v>
      </c>
      <c r="L64" s="131">
        <f t="shared" si="15"/>
        <v>0</v>
      </c>
      <c r="M64" s="155">
        <f t="shared" si="15"/>
        <v>0</v>
      </c>
      <c r="N64" s="185">
        <f t="shared" si="15"/>
        <v>0</v>
      </c>
      <c r="O64" s="186"/>
      <c r="P64" s="74"/>
      <c r="Q64" s="131">
        <f t="shared" si="16"/>
        <v>0</v>
      </c>
      <c r="R64" s="131">
        <f t="shared" si="16"/>
        <v>0</v>
      </c>
      <c r="S64" s="131">
        <f t="shared" si="16"/>
        <v>0</v>
      </c>
      <c r="T64" s="155">
        <f t="shared" si="16"/>
        <v>0</v>
      </c>
      <c r="U64" s="185">
        <f t="shared" si="16"/>
        <v>0</v>
      </c>
    </row>
    <row r="65" spans="1:21">
      <c r="A65" s="12" t="s">
        <v>19</v>
      </c>
      <c r="B65" s="206" t="s">
        <v>72</v>
      </c>
      <c r="C65" s="131"/>
      <c r="D65" s="131"/>
      <c r="E65" s="49">
        <v>2024</v>
      </c>
      <c r="F65" s="50" t="str">
        <f t="shared" si="14"/>
        <v>£m 20/21</v>
      </c>
      <c r="G65" s="207" t="s">
        <v>45</v>
      </c>
      <c r="H65" s="186"/>
      <c r="I65" s="74"/>
      <c r="J65" s="131">
        <f t="shared" si="15"/>
        <v>0</v>
      </c>
      <c r="K65" s="131">
        <f t="shared" si="15"/>
        <v>0</v>
      </c>
      <c r="L65" s="131">
        <f t="shared" si="15"/>
        <v>0</v>
      </c>
      <c r="M65" s="155">
        <f t="shared" si="15"/>
        <v>0</v>
      </c>
      <c r="N65" s="185">
        <f t="shared" si="15"/>
        <v>0</v>
      </c>
      <c r="O65" s="186"/>
      <c r="P65" s="74"/>
      <c r="Q65" s="131">
        <f t="shared" si="16"/>
        <v>0</v>
      </c>
      <c r="R65" s="131">
        <f t="shared" si="16"/>
        <v>0</v>
      </c>
      <c r="S65" s="131">
        <f t="shared" si="16"/>
        <v>0</v>
      </c>
      <c r="T65" s="155">
        <f t="shared" si="16"/>
        <v>0</v>
      </c>
      <c r="U65" s="185">
        <f t="shared" si="16"/>
        <v>0</v>
      </c>
    </row>
    <row r="66" spans="1:21">
      <c r="A66" s="12" t="s">
        <v>19</v>
      </c>
      <c r="B66" s="206" t="s">
        <v>73</v>
      </c>
      <c r="C66" s="131"/>
      <c r="D66" s="131"/>
      <c r="E66" s="49">
        <v>2024</v>
      </c>
      <c r="F66" s="50" t="str">
        <f t="shared" si="14"/>
        <v>£m 20/21</v>
      </c>
      <c r="G66" s="207" t="s">
        <v>44</v>
      </c>
      <c r="H66" s="186"/>
      <c r="I66" s="74"/>
      <c r="J66" s="131">
        <f t="shared" si="15"/>
        <v>0</v>
      </c>
      <c r="K66" s="131">
        <f t="shared" si="15"/>
        <v>0</v>
      </c>
      <c r="L66" s="131">
        <f t="shared" si="15"/>
        <v>0</v>
      </c>
      <c r="M66" s="155">
        <f t="shared" si="15"/>
        <v>0</v>
      </c>
      <c r="N66" s="185">
        <f t="shared" si="15"/>
        <v>0</v>
      </c>
      <c r="O66" s="186"/>
      <c r="P66" s="74"/>
      <c r="Q66" s="131">
        <f t="shared" si="16"/>
        <v>0</v>
      </c>
      <c r="R66" s="131">
        <f t="shared" si="16"/>
        <v>0</v>
      </c>
      <c r="S66" s="131">
        <f t="shared" si="16"/>
        <v>0</v>
      </c>
      <c r="T66" s="155">
        <f t="shared" si="16"/>
        <v>0</v>
      </c>
      <c r="U66" s="185">
        <f t="shared" si="16"/>
        <v>0</v>
      </c>
    </row>
    <row r="67" spans="1:21">
      <c r="A67" s="12" t="s">
        <v>19</v>
      </c>
      <c r="B67" s="206" t="s">
        <v>74</v>
      </c>
      <c r="C67" s="131"/>
      <c r="D67" s="131"/>
      <c r="E67" s="49">
        <v>2024</v>
      </c>
      <c r="F67" s="50" t="str">
        <f t="shared" si="14"/>
        <v>£m 20/21</v>
      </c>
      <c r="G67" s="207" t="s">
        <v>44</v>
      </c>
      <c r="H67" s="186"/>
      <c r="I67" s="74"/>
      <c r="J67" s="131">
        <f t="shared" si="15"/>
        <v>0</v>
      </c>
      <c r="K67" s="131">
        <f t="shared" si="15"/>
        <v>0</v>
      </c>
      <c r="L67" s="131">
        <f t="shared" si="15"/>
        <v>0</v>
      </c>
      <c r="M67" s="155">
        <f t="shared" si="15"/>
        <v>0</v>
      </c>
      <c r="N67" s="185">
        <f t="shared" si="15"/>
        <v>0</v>
      </c>
      <c r="O67" s="186"/>
      <c r="P67" s="74"/>
      <c r="Q67" s="131">
        <f t="shared" si="16"/>
        <v>0</v>
      </c>
      <c r="R67" s="131">
        <f t="shared" si="16"/>
        <v>0</v>
      </c>
      <c r="S67" s="131">
        <f t="shared" si="16"/>
        <v>0</v>
      </c>
      <c r="T67" s="155">
        <f t="shared" si="16"/>
        <v>0</v>
      </c>
      <c r="U67" s="185">
        <f t="shared" si="16"/>
        <v>0</v>
      </c>
    </row>
    <row r="68" spans="1:21">
      <c r="A68" s="12" t="s">
        <v>19</v>
      </c>
      <c r="B68" s="206" t="s">
        <v>75</v>
      </c>
      <c r="C68" s="131"/>
      <c r="D68" s="131"/>
      <c r="E68" s="49">
        <v>2024</v>
      </c>
      <c r="F68" s="50" t="str">
        <f t="shared" si="14"/>
        <v>£m 20/21</v>
      </c>
      <c r="G68" s="207" t="s">
        <v>44</v>
      </c>
      <c r="H68" s="186"/>
      <c r="I68" s="74"/>
      <c r="J68" s="131">
        <f t="shared" si="15"/>
        <v>0</v>
      </c>
      <c r="K68" s="131">
        <f t="shared" si="15"/>
        <v>0</v>
      </c>
      <c r="L68" s="131">
        <f t="shared" si="15"/>
        <v>0</v>
      </c>
      <c r="M68" s="155">
        <f t="shared" si="15"/>
        <v>0</v>
      </c>
      <c r="N68" s="185">
        <f t="shared" si="15"/>
        <v>0</v>
      </c>
      <c r="O68" s="186"/>
      <c r="P68" s="74"/>
      <c r="Q68" s="131">
        <f t="shared" si="16"/>
        <v>0</v>
      </c>
      <c r="R68" s="131">
        <f t="shared" si="16"/>
        <v>0</v>
      </c>
      <c r="S68" s="131">
        <f t="shared" si="16"/>
        <v>0</v>
      </c>
      <c r="T68" s="155">
        <f t="shared" si="16"/>
        <v>0</v>
      </c>
      <c r="U68" s="185">
        <f t="shared" si="16"/>
        <v>0</v>
      </c>
    </row>
    <row r="69" spans="1:21">
      <c r="A69" s="12" t="s">
        <v>19</v>
      </c>
      <c r="B69" s="206" t="s">
        <v>76</v>
      </c>
      <c r="C69" s="131"/>
      <c r="D69" s="131"/>
      <c r="E69" s="49">
        <v>2024</v>
      </c>
      <c r="F69" s="50" t="str">
        <f t="shared" si="14"/>
        <v>£m 20/21</v>
      </c>
      <c r="G69" s="207" t="s">
        <v>44</v>
      </c>
      <c r="H69" s="186"/>
      <c r="I69" s="74"/>
      <c r="J69" s="131">
        <f t="shared" si="15"/>
        <v>0</v>
      </c>
      <c r="K69" s="131">
        <f t="shared" si="15"/>
        <v>0</v>
      </c>
      <c r="L69" s="131">
        <f t="shared" si="15"/>
        <v>0</v>
      </c>
      <c r="M69" s="155">
        <f t="shared" si="15"/>
        <v>0</v>
      </c>
      <c r="N69" s="185">
        <f t="shared" si="15"/>
        <v>0</v>
      </c>
      <c r="O69" s="186"/>
      <c r="P69" s="74"/>
      <c r="Q69" s="131">
        <f t="shared" si="16"/>
        <v>0</v>
      </c>
      <c r="R69" s="131">
        <f t="shared" si="16"/>
        <v>0</v>
      </c>
      <c r="S69" s="131">
        <f t="shared" si="16"/>
        <v>0</v>
      </c>
      <c r="T69" s="155">
        <f t="shared" si="16"/>
        <v>0</v>
      </c>
      <c r="U69" s="185">
        <f t="shared" si="16"/>
        <v>0</v>
      </c>
    </row>
    <row r="70" spans="1:21">
      <c r="A70" s="12" t="s">
        <v>25</v>
      </c>
      <c r="B70" s="206" t="s">
        <v>77</v>
      </c>
      <c r="C70" s="131">
        <v>0.5</v>
      </c>
      <c r="D70" s="131">
        <v>0.6</v>
      </c>
      <c r="E70" s="49">
        <v>2022</v>
      </c>
      <c r="F70" s="50" t="str">
        <f t="shared" si="14"/>
        <v>£m 18/19</v>
      </c>
      <c r="G70" s="207" t="s">
        <v>25</v>
      </c>
      <c r="H70" s="187">
        <f t="shared" ref="H70:L84" si="17">INDEX($C$37:$I$44,MATCH($G70,$B$37:$B$44,0),MATCH(H$55,$C$36:$I$36))</f>
        <v>2.0500000000000001E-2</v>
      </c>
      <c r="I70" s="131">
        <f t="shared" si="17"/>
        <v>1.9E-2</v>
      </c>
      <c r="J70" s="131">
        <f t="shared" si="17"/>
        <v>1.9199999999999998E-2</v>
      </c>
      <c r="K70" s="131">
        <f t="shared" si="17"/>
        <v>2.06E-2</v>
      </c>
      <c r="L70" s="131">
        <f t="shared" si="17"/>
        <v>2.1999999999999999E-2</v>
      </c>
      <c r="M70" s="74"/>
      <c r="N70" s="188"/>
      <c r="O70" s="187">
        <f t="shared" ref="O70:S84" si="18">INDEX($C$48:$I$52,MATCH($A70,$B$48:$B$52,0),MATCH(O$55,$C$47:$I$47))</f>
        <v>4.5181881000000007E-2</v>
      </c>
      <c r="P70" s="131">
        <f t="shared" si="18"/>
        <v>4.5568105000000005E-2</v>
      </c>
      <c r="Q70" s="131">
        <f t="shared" si="18"/>
        <v>5.2833944000000001E-2</v>
      </c>
      <c r="R70" s="131">
        <f t="shared" si="18"/>
        <v>5.2351163999999999E-2</v>
      </c>
      <c r="S70" s="131">
        <f t="shared" si="18"/>
        <v>5.2520137000000001E-2</v>
      </c>
      <c r="T70" s="74"/>
      <c r="U70" s="188"/>
    </row>
    <row r="71" spans="1:21">
      <c r="A71" s="12" t="s">
        <v>25</v>
      </c>
      <c r="B71" s="206" t="s">
        <v>78</v>
      </c>
      <c r="C71" s="131">
        <v>0.5</v>
      </c>
      <c r="D71" s="131">
        <v>0.6</v>
      </c>
      <c r="E71" s="49">
        <v>2022</v>
      </c>
      <c r="F71" s="50" t="str">
        <f t="shared" si="14"/>
        <v>£m 18/19</v>
      </c>
      <c r="G71" s="207" t="s">
        <v>25</v>
      </c>
      <c r="H71" s="187">
        <f t="shared" si="17"/>
        <v>2.0500000000000001E-2</v>
      </c>
      <c r="I71" s="131">
        <f t="shared" si="17"/>
        <v>1.9E-2</v>
      </c>
      <c r="J71" s="131">
        <f t="shared" si="17"/>
        <v>1.9199999999999998E-2</v>
      </c>
      <c r="K71" s="131">
        <f t="shared" si="17"/>
        <v>2.06E-2</v>
      </c>
      <c r="L71" s="131">
        <f t="shared" si="17"/>
        <v>2.1999999999999999E-2</v>
      </c>
      <c r="M71" s="74"/>
      <c r="N71" s="188"/>
      <c r="O71" s="187">
        <f t="shared" si="18"/>
        <v>4.5181881000000007E-2</v>
      </c>
      <c r="P71" s="131">
        <f t="shared" si="18"/>
        <v>4.5568105000000005E-2</v>
      </c>
      <c r="Q71" s="131">
        <f t="shared" si="18"/>
        <v>5.2833944000000001E-2</v>
      </c>
      <c r="R71" s="131">
        <f t="shared" si="18"/>
        <v>5.2351163999999999E-2</v>
      </c>
      <c r="S71" s="131">
        <f t="shared" si="18"/>
        <v>5.2520137000000001E-2</v>
      </c>
      <c r="T71" s="74"/>
      <c r="U71" s="188"/>
    </row>
    <row r="72" spans="1:21">
      <c r="A72" s="12" t="s">
        <v>25</v>
      </c>
      <c r="B72" s="206" t="s">
        <v>79</v>
      </c>
      <c r="C72" s="131">
        <v>0.5</v>
      </c>
      <c r="D72" s="131">
        <v>0.6</v>
      </c>
      <c r="E72" s="49">
        <v>2022</v>
      </c>
      <c r="F72" s="50" t="str">
        <f t="shared" si="14"/>
        <v>£m 18/19</v>
      </c>
      <c r="G72" s="207" t="s">
        <v>25</v>
      </c>
      <c r="H72" s="187">
        <f t="shared" si="17"/>
        <v>2.0500000000000001E-2</v>
      </c>
      <c r="I72" s="131">
        <f t="shared" si="17"/>
        <v>1.9E-2</v>
      </c>
      <c r="J72" s="131">
        <f t="shared" si="17"/>
        <v>1.9199999999999998E-2</v>
      </c>
      <c r="K72" s="131">
        <f t="shared" si="17"/>
        <v>2.06E-2</v>
      </c>
      <c r="L72" s="131">
        <f t="shared" si="17"/>
        <v>2.1999999999999999E-2</v>
      </c>
      <c r="M72" s="74"/>
      <c r="N72" s="188"/>
      <c r="O72" s="187">
        <f t="shared" si="18"/>
        <v>4.5181881000000007E-2</v>
      </c>
      <c r="P72" s="131">
        <f t="shared" si="18"/>
        <v>4.5568105000000005E-2</v>
      </c>
      <c r="Q72" s="131">
        <f t="shared" si="18"/>
        <v>5.2833944000000001E-2</v>
      </c>
      <c r="R72" s="131">
        <f t="shared" si="18"/>
        <v>5.2351163999999999E-2</v>
      </c>
      <c r="S72" s="131">
        <f t="shared" si="18"/>
        <v>5.2520137000000001E-2</v>
      </c>
      <c r="T72" s="74"/>
      <c r="U72" s="188"/>
    </row>
    <row r="73" spans="1:21">
      <c r="A73" s="12" t="s">
        <v>25</v>
      </c>
      <c r="B73" s="206" t="s">
        <v>80</v>
      </c>
      <c r="C73" s="131">
        <v>0.5</v>
      </c>
      <c r="D73" s="131">
        <v>0.6</v>
      </c>
      <c r="E73" s="49">
        <v>2022</v>
      </c>
      <c r="F73" s="50" t="str">
        <f t="shared" si="14"/>
        <v>£m 18/19</v>
      </c>
      <c r="G73" s="207" t="s">
        <v>25</v>
      </c>
      <c r="H73" s="187">
        <f t="shared" si="17"/>
        <v>2.0500000000000001E-2</v>
      </c>
      <c r="I73" s="131">
        <f t="shared" si="17"/>
        <v>1.9E-2</v>
      </c>
      <c r="J73" s="131">
        <f t="shared" si="17"/>
        <v>1.9199999999999998E-2</v>
      </c>
      <c r="K73" s="131">
        <f t="shared" si="17"/>
        <v>2.06E-2</v>
      </c>
      <c r="L73" s="131">
        <f t="shared" si="17"/>
        <v>2.1999999999999999E-2</v>
      </c>
      <c r="M73" s="74"/>
      <c r="N73" s="188"/>
      <c r="O73" s="187">
        <f t="shared" si="18"/>
        <v>4.5181881000000007E-2</v>
      </c>
      <c r="P73" s="131">
        <f t="shared" si="18"/>
        <v>4.5568105000000005E-2</v>
      </c>
      <c r="Q73" s="131">
        <f t="shared" si="18"/>
        <v>5.2833944000000001E-2</v>
      </c>
      <c r="R73" s="131">
        <f t="shared" si="18"/>
        <v>5.2351163999999999E-2</v>
      </c>
      <c r="S73" s="131">
        <f t="shared" si="18"/>
        <v>5.2520137000000001E-2</v>
      </c>
      <c r="T73" s="74"/>
      <c r="U73" s="188"/>
    </row>
    <row r="74" spans="1:21">
      <c r="A74" s="12" t="s">
        <v>25</v>
      </c>
      <c r="B74" s="206" t="s">
        <v>81</v>
      </c>
      <c r="C74" s="131">
        <v>0.51</v>
      </c>
      <c r="D74" s="131">
        <v>0.6</v>
      </c>
      <c r="E74" s="49">
        <v>2022</v>
      </c>
      <c r="F74" s="50" t="str">
        <f t="shared" si="14"/>
        <v>£m 18/19</v>
      </c>
      <c r="G74" s="207" t="s">
        <v>48</v>
      </c>
      <c r="H74" s="187">
        <f t="shared" si="17"/>
        <v>2.1100000000000001E-2</v>
      </c>
      <c r="I74" s="131">
        <f t="shared" si="17"/>
        <v>1.9599999999999999E-2</v>
      </c>
      <c r="J74" s="131">
        <f t="shared" si="17"/>
        <v>1.9799999999999998E-2</v>
      </c>
      <c r="K74" s="131">
        <f t="shared" si="17"/>
        <v>2.12E-2</v>
      </c>
      <c r="L74" s="131">
        <f t="shared" si="17"/>
        <v>2.2599999999999999E-2</v>
      </c>
      <c r="M74" s="74"/>
      <c r="N74" s="188"/>
      <c r="O74" s="187">
        <f t="shared" si="18"/>
        <v>4.5181881000000007E-2</v>
      </c>
      <c r="P74" s="131">
        <f t="shared" si="18"/>
        <v>4.5568105000000005E-2</v>
      </c>
      <c r="Q74" s="131">
        <f t="shared" si="18"/>
        <v>5.2833944000000001E-2</v>
      </c>
      <c r="R74" s="131">
        <f t="shared" si="18"/>
        <v>5.2351163999999999E-2</v>
      </c>
      <c r="S74" s="131">
        <f t="shared" si="18"/>
        <v>5.2520137000000001E-2</v>
      </c>
      <c r="T74" s="74"/>
      <c r="U74" s="188"/>
    </row>
    <row r="75" spans="1:21">
      <c r="A75" s="12" t="s">
        <v>25</v>
      </c>
      <c r="B75" s="206" t="s">
        <v>82</v>
      </c>
      <c r="C75" s="131">
        <v>0.51</v>
      </c>
      <c r="D75" s="131">
        <v>0.6</v>
      </c>
      <c r="E75" s="49">
        <v>2022</v>
      </c>
      <c r="F75" s="50" t="str">
        <f t="shared" si="14"/>
        <v>£m 18/19</v>
      </c>
      <c r="G75" s="207" t="s">
        <v>48</v>
      </c>
      <c r="H75" s="187">
        <f t="shared" si="17"/>
        <v>2.1100000000000001E-2</v>
      </c>
      <c r="I75" s="131">
        <f t="shared" si="17"/>
        <v>1.9599999999999999E-2</v>
      </c>
      <c r="J75" s="131">
        <f t="shared" si="17"/>
        <v>1.9799999999999998E-2</v>
      </c>
      <c r="K75" s="131">
        <f t="shared" si="17"/>
        <v>2.12E-2</v>
      </c>
      <c r="L75" s="131">
        <f t="shared" si="17"/>
        <v>2.2599999999999999E-2</v>
      </c>
      <c r="M75" s="74"/>
      <c r="N75" s="188"/>
      <c r="O75" s="187">
        <f t="shared" si="18"/>
        <v>4.5181881000000007E-2</v>
      </c>
      <c r="P75" s="131">
        <f t="shared" si="18"/>
        <v>4.5568105000000005E-2</v>
      </c>
      <c r="Q75" s="131">
        <f t="shared" si="18"/>
        <v>5.2833944000000001E-2</v>
      </c>
      <c r="R75" s="131">
        <f t="shared" si="18"/>
        <v>5.2351163999999999E-2</v>
      </c>
      <c r="S75" s="131">
        <f t="shared" si="18"/>
        <v>5.2520137000000001E-2</v>
      </c>
      <c r="T75" s="74"/>
      <c r="U75" s="188"/>
    </row>
    <row r="76" spans="1:21">
      <c r="A76" s="12" t="s">
        <v>25</v>
      </c>
      <c r="B76" s="206" t="s">
        <v>83</v>
      </c>
      <c r="C76" s="131">
        <v>0.5</v>
      </c>
      <c r="D76" s="131">
        <v>0.6</v>
      </c>
      <c r="E76" s="49">
        <v>2022</v>
      </c>
      <c r="F76" s="50" t="str">
        <f t="shared" si="14"/>
        <v>£m 18/19</v>
      </c>
      <c r="G76" s="207" t="s">
        <v>25</v>
      </c>
      <c r="H76" s="187">
        <f t="shared" si="17"/>
        <v>2.0500000000000001E-2</v>
      </c>
      <c r="I76" s="131">
        <f t="shared" si="17"/>
        <v>1.9E-2</v>
      </c>
      <c r="J76" s="131">
        <f t="shared" si="17"/>
        <v>1.9199999999999998E-2</v>
      </c>
      <c r="K76" s="131">
        <f t="shared" si="17"/>
        <v>2.06E-2</v>
      </c>
      <c r="L76" s="131">
        <f t="shared" si="17"/>
        <v>2.1999999999999999E-2</v>
      </c>
      <c r="M76" s="74"/>
      <c r="N76" s="188"/>
      <c r="O76" s="187">
        <f t="shared" si="18"/>
        <v>4.5181881000000007E-2</v>
      </c>
      <c r="P76" s="131">
        <f t="shared" si="18"/>
        <v>4.5568105000000005E-2</v>
      </c>
      <c r="Q76" s="131">
        <f t="shared" si="18"/>
        <v>5.2833944000000001E-2</v>
      </c>
      <c r="R76" s="131">
        <f t="shared" si="18"/>
        <v>5.2351163999999999E-2</v>
      </c>
      <c r="S76" s="131">
        <f t="shared" si="18"/>
        <v>5.2520137000000001E-2</v>
      </c>
      <c r="T76" s="74"/>
      <c r="U76" s="188"/>
    </row>
    <row r="77" spans="1:21">
      <c r="A77" s="12" t="s">
        <v>25</v>
      </c>
      <c r="B77" s="206" t="s">
        <v>84</v>
      </c>
      <c r="C77" s="131">
        <v>0.5</v>
      </c>
      <c r="D77" s="131">
        <v>0.6</v>
      </c>
      <c r="E77" s="49">
        <v>2022</v>
      </c>
      <c r="F77" s="50" t="str">
        <f t="shared" si="14"/>
        <v>£m 18/19</v>
      </c>
      <c r="G77" s="207" t="s">
        <v>48</v>
      </c>
      <c r="H77" s="187">
        <f t="shared" si="17"/>
        <v>2.1100000000000001E-2</v>
      </c>
      <c r="I77" s="131">
        <f t="shared" si="17"/>
        <v>1.9599999999999999E-2</v>
      </c>
      <c r="J77" s="131">
        <f t="shared" si="17"/>
        <v>1.9799999999999998E-2</v>
      </c>
      <c r="K77" s="131">
        <f t="shared" si="17"/>
        <v>2.12E-2</v>
      </c>
      <c r="L77" s="131">
        <f t="shared" si="17"/>
        <v>2.2599999999999999E-2</v>
      </c>
      <c r="M77" s="74"/>
      <c r="N77" s="188"/>
      <c r="O77" s="187">
        <f t="shared" si="18"/>
        <v>4.5181881000000007E-2</v>
      </c>
      <c r="P77" s="131">
        <f t="shared" si="18"/>
        <v>4.5568105000000005E-2</v>
      </c>
      <c r="Q77" s="131">
        <f t="shared" si="18"/>
        <v>5.2833944000000001E-2</v>
      </c>
      <c r="R77" s="131">
        <f t="shared" si="18"/>
        <v>5.2351163999999999E-2</v>
      </c>
      <c r="S77" s="131">
        <f t="shared" si="18"/>
        <v>5.2520137000000001E-2</v>
      </c>
      <c r="T77" s="74"/>
      <c r="U77" s="188"/>
    </row>
    <row r="78" spans="1:21">
      <c r="A78" s="12" t="s">
        <v>27</v>
      </c>
      <c r="B78" s="206" t="s">
        <v>85</v>
      </c>
      <c r="C78" s="131">
        <v>0.61</v>
      </c>
      <c r="D78" s="131">
        <v>0.6</v>
      </c>
      <c r="E78" s="49">
        <v>2022</v>
      </c>
      <c r="F78" s="50" t="str">
        <f t="shared" si="14"/>
        <v>£m 18/19</v>
      </c>
      <c r="G78" s="207" t="s">
        <v>27</v>
      </c>
      <c r="H78" s="187">
        <f t="shared" si="17"/>
        <v>2.0500000000000001E-2</v>
      </c>
      <c r="I78" s="131">
        <f t="shared" si="17"/>
        <v>1.9E-2</v>
      </c>
      <c r="J78" s="131">
        <f t="shared" si="17"/>
        <v>1.9199999999999998E-2</v>
      </c>
      <c r="K78" s="131">
        <f t="shared" si="17"/>
        <v>2.06E-2</v>
      </c>
      <c r="L78" s="131">
        <f t="shared" si="17"/>
        <v>2.1999999999999999E-2</v>
      </c>
      <c r="M78" s="74"/>
      <c r="N78" s="188"/>
      <c r="O78" s="187">
        <f t="shared" si="18"/>
        <v>4.5181881000000007E-2</v>
      </c>
      <c r="P78" s="131">
        <f t="shared" si="18"/>
        <v>4.5568105000000005E-2</v>
      </c>
      <c r="Q78" s="131">
        <f t="shared" si="18"/>
        <v>5.2833944000000001E-2</v>
      </c>
      <c r="R78" s="131">
        <f t="shared" si="18"/>
        <v>5.2351163999999999E-2</v>
      </c>
      <c r="S78" s="131">
        <f t="shared" si="18"/>
        <v>5.2520137000000001E-2</v>
      </c>
      <c r="T78" s="74"/>
      <c r="U78" s="188"/>
    </row>
    <row r="79" spans="1:21">
      <c r="A79" s="12" t="s">
        <v>27</v>
      </c>
      <c r="B79" s="206" t="s">
        <v>86</v>
      </c>
      <c r="C79" s="131">
        <v>0.61</v>
      </c>
      <c r="D79" s="131">
        <v>0.6</v>
      </c>
      <c r="E79" s="49">
        <v>2022</v>
      </c>
      <c r="F79" s="50" t="str">
        <f t="shared" si="14"/>
        <v>£m 18/19</v>
      </c>
      <c r="G79" s="207" t="s">
        <v>27</v>
      </c>
      <c r="H79" s="187">
        <f t="shared" si="17"/>
        <v>2.0500000000000001E-2</v>
      </c>
      <c r="I79" s="131">
        <f t="shared" si="17"/>
        <v>1.9E-2</v>
      </c>
      <c r="J79" s="131">
        <f t="shared" si="17"/>
        <v>1.9199999999999998E-2</v>
      </c>
      <c r="K79" s="131">
        <f t="shared" si="17"/>
        <v>2.06E-2</v>
      </c>
      <c r="L79" s="131">
        <f t="shared" si="17"/>
        <v>2.1999999999999999E-2</v>
      </c>
      <c r="M79" s="74"/>
      <c r="N79" s="188"/>
      <c r="O79" s="187">
        <f t="shared" si="18"/>
        <v>4.5181881000000007E-2</v>
      </c>
      <c r="P79" s="131">
        <f t="shared" si="18"/>
        <v>4.5568105000000005E-2</v>
      </c>
      <c r="Q79" s="131">
        <f t="shared" si="18"/>
        <v>5.2833944000000001E-2</v>
      </c>
      <c r="R79" s="131">
        <f t="shared" si="18"/>
        <v>5.2351163999999999E-2</v>
      </c>
      <c r="S79" s="131">
        <f t="shared" si="18"/>
        <v>5.2520137000000001E-2</v>
      </c>
      <c r="T79" s="74"/>
      <c r="U79" s="188"/>
    </row>
    <row r="80" spans="1:21">
      <c r="A80" s="12" t="s">
        <v>27</v>
      </c>
      <c r="B80" s="206" t="s">
        <v>87</v>
      </c>
      <c r="C80" s="131">
        <v>0.61</v>
      </c>
      <c r="D80" s="131">
        <v>0.6</v>
      </c>
      <c r="E80" s="49">
        <v>2022</v>
      </c>
      <c r="F80" s="50" t="str">
        <f t="shared" si="14"/>
        <v>£m 18/19</v>
      </c>
      <c r="G80" s="207" t="s">
        <v>27</v>
      </c>
      <c r="H80" s="187">
        <f t="shared" si="17"/>
        <v>2.0500000000000001E-2</v>
      </c>
      <c r="I80" s="131">
        <f t="shared" si="17"/>
        <v>1.9E-2</v>
      </c>
      <c r="J80" s="131">
        <f t="shared" si="17"/>
        <v>1.9199999999999998E-2</v>
      </c>
      <c r="K80" s="131">
        <f t="shared" si="17"/>
        <v>2.06E-2</v>
      </c>
      <c r="L80" s="131">
        <f t="shared" si="17"/>
        <v>2.1999999999999999E-2</v>
      </c>
      <c r="M80" s="74"/>
      <c r="N80" s="188"/>
      <c r="O80" s="187">
        <f t="shared" si="18"/>
        <v>4.5181881000000007E-2</v>
      </c>
      <c r="P80" s="131">
        <f t="shared" si="18"/>
        <v>4.5568105000000005E-2</v>
      </c>
      <c r="Q80" s="131">
        <f t="shared" si="18"/>
        <v>5.2833944000000001E-2</v>
      </c>
      <c r="R80" s="131">
        <f t="shared" si="18"/>
        <v>5.2351163999999999E-2</v>
      </c>
      <c r="S80" s="131">
        <f t="shared" si="18"/>
        <v>5.2520137000000001E-2</v>
      </c>
      <c r="T80" s="74"/>
      <c r="U80" s="188"/>
    </row>
    <row r="81" spans="1:21">
      <c r="A81" s="12" t="s">
        <v>22</v>
      </c>
      <c r="B81" s="206" t="s">
        <v>88</v>
      </c>
      <c r="C81" s="131">
        <v>0.67</v>
      </c>
      <c r="D81" s="131">
        <v>0.55000000000000004</v>
      </c>
      <c r="E81" s="49">
        <v>2022</v>
      </c>
      <c r="F81" s="50" t="str">
        <f t="shared" si="14"/>
        <v>£m 18/19</v>
      </c>
      <c r="G81" s="207" t="s">
        <v>47</v>
      </c>
      <c r="H81" s="187">
        <f t="shared" si="17"/>
        <v>2.0500000000000001E-2</v>
      </c>
      <c r="I81" s="131">
        <f t="shared" si="17"/>
        <v>1.9E-2</v>
      </c>
      <c r="J81" s="131">
        <f t="shared" si="17"/>
        <v>1.9199999999999998E-2</v>
      </c>
      <c r="K81" s="131">
        <f t="shared" si="17"/>
        <v>2.06E-2</v>
      </c>
      <c r="L81" s="131">
        <f t="shared" si="17"/>
        <v>2.1999999999999999E-2</v>
      </c>
      <c r="M81" s="74"/>
      <c r="N81" s="188"/>
      <c r="O81" s="187">
        <f t="shared" si="18"/>
        <v>4.2439449777777784E-2</v>
      </c>
      <c r="P81" s="131">
        <f t="shared" si="18"/>
        <v>4.2616093333333334E-2</v>
      </c>
      <c r="Q81" s="131">
        <f t="shared" si="18"/>
        <v>4.909683911111111E-2</v>
      </c>
      <c r="R81" s="131">
        <f t="shared" si="18"/>
        <v>4.8823256888888882E-2</v>
      </c>
      <c r="S81" s="131">
        <f t="shared" si="18"/>
        <v>4.9129010666666667E-2</v>
      </c>
      <c r="T81" s="74"/>
      <c r="U81" s="188"/>
    </row>
    <row r="82" spans="1:21">
      <c r="A82" s="12" t="s">
        <v>4</v>
      </c>
      <c r="B82" s="206" t="s">
        <v>4</v>
      </c>
      <c r="C82" s="131">
        <v>1</v>
      </c>
      <c r="D82" s="131">
        <v>0.55000000000000004</v>
      </c>
      <c r="E82" s="49">
        <v>2022</v>
      </c>
      <c r="F82" s="50" t="str">
        <f t="shared" si="14"/>
        <v>£m 18/19</v>
      </c>
      <c r="G82" s="207" t="s">
        <v>4</v>
      </c>
      <c r="H82" s="187">
        <f t="shared" si="17"/>
        <v>-5.9999999999999995E-4</v>
      </c>
      <c r="I82" s="131">
        <f t="shared" si="17"/>
        <v>2.1399999999999999E-2</v>
      </c>
      <c r="J82" s="131">
        <f t="shared" si="17"/>
        <v>4.7800000000000002E-2</v>
      </c>
      <c r="K82" s="131">
        <f t="shared" si="17"/>
        <v>4.5699999999999998E-2</v>
      </c>
      <c r="L82" s="131">
        <f t="shared" si="17"/>
        <v>4.1599999999999998E-2</v>
      </c>
      <c r="M82" s="74"/>
      <c r="N82" s="188"/>
      <c r="O82" s="187">
        <f t="shared" si="18"/>
        <v>7.5718976000000007E-2</v>
      </c>
      <c r="P82" s="131">
        <f t="shared" si="18"/>
        <v>7.5510080000000007E-2</v>
      </c>
      <c r="Q82" s="131">
        <f t="shared" si="18"/>
        <v>7.1580223999999998E-2</v>
      </c>
      <c r="R82" s="131">
        <f t="shared" si="18"/>
        <v>7.1841344000000001E-2</v>
      </c>
      <c r="S82" s="131">
        <f t="shared" si="18"/>
        <v>7.1749952000000006E-2</v>
      </c>
      <c r="T82" s="74"/>
      <c r="U82" s="188"/>
    </row>
    <row r="83" spans="1:21">
      <c r="A83" s="12" t="s">
        <v>22</v>
      </c>
      <c r="B83" s="206" t="s">
        <v>89</v>
      </c>
      <c r="C83" s="131">
        <v>0.51</v>
      </c>
      <c r="D83" s="131">
        <v>0.55000000000000004</v>
      </c>
      <c r="E83" s="49">
        <v>2022</v>
      </c>
      <c r="F83" s="50" t="str">
        <f t="shared" si="14"/>
        <v>£m 18/19</v>
      </c>
      <c r="G83" s="207" t="s">
        <v>47</v>
      </c>
      <c r="H83" s="187">
        <f t="shared" si="17"/>
        <v>2.0500000000000001E-2</v>
      </c>
      <c r="I83" s="131">
        <f t="shared" si="17"/>
        <v>1.9E-2</v>
      </c>
      <c r="J83" s="131">
        <f t="shared" si="17"/>
        <v>1.9199999999999998E-2</v>
      </c>
      <c r="K83" s="131">
        <f t="shared" si="17"/>
        <v>2.06E-2</v>
      </c>
      <c r="L83" s="131">
        <f t="shared" si="17"/>
        <v>2.1999999999999999E-2</v>
      </c>
      <c r="M83" s="74"/>
      <c r="N83" s="188"/>
      <c r="O83" s="187">
        <f t="shared" si="18"/>
        <v>4.2439449777777784E-2</v>
      </c>
      <c r="P83" s="131">
        <f t="shared" si="18"/>
        <v>4.2616093333333334E-2</v>
      </c>
      <c r="Q83" s="131">
        <f t="shared" si="18"/>
        <v>4.909683911111111E-2</v>
      </c>
      <c r="R83" s="131">
        <f t="shared" si="18"/>
        <v>4.8823256888888882E-2</v>
      </c>
      <c r="S83" s="131">
        <f t="shared" si="18"/>
        <v>4.9129010666666667E-2</v>
      </c>
      <c r="T83" s="74"/>
      <c r="U83" s="188"/>
    </row>
    <row r="84" spans="1:21" ht="13.5" thickBot="1">
      <c r="A84" s="12" t="s">
        <v>22</v>
      </c>
      <c r="B84" s="208" t="s">
        <v>46</v>
      </c>
      <c r="C84" s="190">
        <v>0.64</v>
      </c>
      <c r="D84" s="190">
        <v>0.55000000000000004</v>
      </c>
      <c r="E84" s="209">
        <v>2022</v>
      </c>
      <c r="F84" s="210" t="str">
        <f t="shared" si="14"/>
        <v>£m 18/19</v>
      </c>
      <c r="G84" s="211" t="s">
        <v>46</v>
      </c>
      <c r="H84" s="189">
        <f t="shared" si="17"/>
        <v>1.8194982985475096E-2</v>
      </c>
      <c r="I84" s="190">
        <f t="shared" si="17"/>
        <v>1.5793417632087442E-2</v>
      </c>
      <c r="J84" s="190">
        <f t="shared" si="17"/>
        <v>1.8153286579427653E-2</v>
      </c>
      <c r="K84" s="190">
        <f t="shared" si="17"/>
        <v>2.1523139345184805E-2</v>
      </c>
      <c r="L84" s="190">
        <f t="shared" si="17"/>
        <v>2.4217276024073559E-2</v>
      </c>
      <c r="M84" s="191"/>
      <c r="N84" s="192"/>
      <c r="O84" s="189">
        <f t="shared" si="18"/>
        <v>4.2439449777777784E-2</v>
      </c>
      <c r="P84" s="190">
        <f t="shared" si="18"/>
        <v>4.2616093333333334E-2</v>
      </c>
      <c r="Q84" s="190">
        <f t="shared" si="18"/>
        <v>4.909683911111111E-2</v>
      </c>
      <c r="R84" s="190">
        <f t="shared" si="18"/>
        <v>4.8823256888888882E-2</v>
      </c>
      <c r="S84" s="190">
        <f t="shared" si="18"/>
        <v>4.9129010666666667E-2</v>
      </c>
      <c r="T84" s="191"/>
      <c r="U84" s="192"/>
    </row>
    <row r="85" spans="1:21">
      <c r="I85" s="14"/>
    </row>
    <row r="86" spans="1:21">
      <c r="I86" s="14"/>
    </row>
    <row r="87" spans="1:21">
      <c r="I87" s="14"/>
    </row>
    <row r="88" spans="1:21" ht="13.5">
      <c r="B88" s="1"/>
      <c r="D88" s="124"/>
      <c r="E88" s="124"/>
      <c r="F88" s="124"/>
      <c r="G88" s="124"/>
      <c r="H88" s="124"/>
      <c r="I88" s="124"/>
      <c r="J88" s="124"/>
    </row>
    <row r="90" spans="1:21" ht="14.25">
      <c r="B90" s="105" t="s">
        <v>90</v>
      </c>
      <c r="C90" s="24">
        <v>2022</v>
      </c>
      <c r="D90" s="25">
        <f t="shared" ref="D90:I90" si="19">C90+1</f>
        <v>2023</v>
      </c>
      <c r="E90" s="25">
        <f t="shared" si="19"/>
        <v>2024</v>
      </c>
      <c r="F90" s="25">
        <f t="shared" si="19"/>
        <v>2025</v>
      </c>
      <c r="G90" s="25">
        <f t="shared" si="19"/>
        <v>2026</v>
      </c>
      <c r="H90" s="25">
        <f t="shared" si="19"/>
        <v>2027</v>
      </c>
      <c r="I90" s="25">
        <f t="shared" si="19"/>
        <v>2028</v>
      </c>
    </row>
    <row r="91" spans="1:21">
      <c r="B91" s="106" t="s">
        <v>63</v>
      </c>
      <c r="C91" s="74"/>
      <c r="D91" s="74"/>
      <c r="E91" s="107">
        <v>0</v>
      </c>
      <c r="F91" s="107">
        <v>0</v>
      </c>
      <c r="G91" s="107">
        <v>0</v>
      </c>
      <c r="H91" s="107">
        <v>0</v>
      </c>
      <c r="I91" s="107">
        <v>0</v>
      </c>
    </row>
    <row r="92" spans="1:21">
      <c r="B92" s="106" t="s">
        <v>64</v>
      </c>
      <c r="C92" s="74"/>
      <c r="D92" s="74"/>
      <c r="E92" s="107">
        <v>0</v>
      </c>
      <c r="F92" s="107">
        <v>0</v>
      </c>
      <c r="G92" s="107">
        <v>0</v>
      </c>
      <c r="H92" s="107">
        <v>0</v>
      </c>
      <c r="I92" s="107">
        <v>0</v>
      </c>
    </row>
    <row r="93" spans="1:21">
      <c r="B93" s="106" t="s">
        <v>65</v>
      </c>
      <c r="C93" s="74"/>
      <c r="D93" s="74"/>
      <c r="E93" s="107">
        <v>0</v>
      </c>
      <c r="F93" s="107">
        <v>0</v>
      </c>
      <c r="G93" s="107">
        <v>0</v>
      </c>
      <c r="H93" s="107">
        <v>0</v>
      </c>
      <c r="I93" s="107">
        <v>0</v>
      </c>
      <c r="J93" s="85"/>
      <c r="K93" s="85"/>
      <c r="L93" s="85"/>
      <c r="M93" s="85"/>
      <c r="N93" s="85"/>
    </row>
    <row r="94" spans="1:21">
      <c r="B94" s="106" t="s">
        <v>66</v>
      </c>
      <c r="C94" s="74"/>
      <c r="D94" s="74"/>
      <c r="E94" s="107">
        <v>0</v>
      </c>
      <c r="F94" s="107">
        <v>0</v>
      </c>
      <c r="G94" s="107">
        <v>0</v>
      </c>
      <c r="H94" s="107">
        <v>0</v>
      </c>
      <c r="I94" s="107">
        <v>0</v>
      </c>
    </row>
    <row r="95" spans="1:21">
      <c r="B95" s="106" t="s">
        <v>67</v>
      </c>
      <c r="C95" s="74"/>
      <c r="D95" s="74"/>
      <c r="E95" s="107">
        <v>0</v>
      </c>
      <c r="F95" s="107">
        <v>0</v>
      </c>
      <c r="G95" s="107">
        <v>0</v>
      </c>
      <c r="H95" s="107">
        <v>0</v>
      </c>
      <c r="I95" s="107">
        <v>0</v>
      </c>
    </row>
    <row r="96" spans="1:21">
      <c r="B96" s="106" t="s">
        <v>68</v>
      </c>
      <c r="C96" s="74"/>
      <c r="D96" s="74"/>
      <c r="E96" s="107">
        <v>0</v>
      </c>
      <c r="F96" s="107">
        <v>0</v>
      </c>
      <c r="G96" s="107">
        <v>0</v>
      </c>
      <c r="H96" s="107">
        <v>0</v>
      </c>
      <c r="I96" s="107">
        <v>0</v>
      </c>
    </row>
    <row r="97" spans="2:9">
      <c r="B97" s="106" t="s">
        <v>69</v>
      </c>
      <c r="C97" s="74"/>
      <c r="D97" s="74"/>
      <c r="E97" s="107">
        <v>0</v>
      </c>
      <c r="F97" s="107">
        <v>0</v>
      </c>
      <c r="G97" s="107">
        <v>0</v>
      </c>
      <c r="H97" s="107">
        <v>0</v>
      </c>
      <c r="I97" s="107">
        <v>0</v>
      </c>
    </row>
    <row r="98" spans="2:9">
      <c r="B98" s="106" t="s">
        <v>70</v>
      </c>
      <c r="C98" s="74"/>
      <c r="D98" s="74"/>
      <c r="E98" s="107">
        <v>0</v>
      </c>
      <c r="F98" s="107">
        <v>0</v>
      </c>
      <c r="G98" s="107">
        <v>0</v>
      </c>
      <c r="H98" s="107">
        <v>0</v>
      </c>
      <c r="I98" s="107">
        <v>0</v>
      </c>
    </row>
    <row r="99" spans="2:9">
      <c r="B99" s="106" t="s">
        <v>71</v>
      </c>
      <c r="C99" s="74"/>
      <c r="D99" s="74"/>
      <c r="E99" s="107">
        <v>0</v>
      </c>
      <c r="F99" s="107">
        <v>0</v>
      </c>
      <c r="G99" s="107">
        <v>0</v>
      </c>
      <c r="H99" s="107">
        <v>0</v>
      </c>
      <c r="I99" s="107">
        <v>0</v>
      </c>
    </row>
    <row r="100" spans="2:9">
      <c r="B100" s="106" t="s">
        <v>72</v>
      </c>
      <c r="C100" s="74"/>
      <c r="D100" s="74"/>
      <c r="E100" s="107">
        <v>0</v>
      </c>
      <c r="F100" s="107">
        <v>0</v>
      </c>
      <c r="G100" s="107">
        <v>0</v>
      </c>
      <c r="H100" s="107">
        <v>0</v>
      </c>
      <c r="I100" s="107">
        <v>0</v>
      </c>
    </row>
    <row r="101" spans="2:9">
      <c r="B101" s="106" t="s">
        <v>73</v>
      </c>
      <c r="C101" s="74"/>
      <c r="D101" s="74"/>
      <c r="E101" s="107">
        <v>0</v>
      </c>
      <c r="F101" s="107">
        <v>0</v>
      </c>
      <c r="G101" s="107">
        <v>0</v>
      </c>
      <c r="H101" s="107">
        <v>0</v>
      </c>
      <c r="I101" s="107">
        <v>0</v>
      </c>
    </row>
    <row r="102" spans="2:9">
      <c r="B102" s="106" t="s">
        <v>74</v>
      </c>
      <c r="C102" s="74"/>
      <c r="D102" s="74"/>
      <c r="E102" s="107">
        <v>0</v>
      </c>
      <c r="F102" s="107">
        <v>0</v>
      </c>
      <c r="G102" s="107">
        <v>0</v>
      </c>
      <c r="H102" s="107">
        <v>0</v>
      </c>
      <c r="I102" s="107">
        <v>0</v>
      </c>
    </row>
    <row r="103" spans="2:9">
      <c r="B103" s="106" t="s">
        <v>75</v>
      </c>
      <c r="C103" s="74"/>
      <c r="D103" s="74"/>
      <c r="E103" s="107">
        <v>0</v>
      </c>
      <c r="F103" s="107">
        <v>0</v>
      </c>
      <c r="G103" s="107">
        <v>0</v>
      </c>
      <c r="H103" s="107">
        <v>0</v>
      </c>
      <c r="I103" s="107">
        <v>0</v>
      </c>
    </row>
    <row r="104" spans="2:9">
      <c r="B104" s="106" t="s">
        <v>76</v>
      </c>
      <c r="C104" s="74"/>
      <c r="D104" s="74"/>
      <c r="E104" s="107">
        <v>0</v>
      </c>
      <c r="F104" s="107">
        <v>0</v>
      </c>
      <c r="G104" s="107">
        <v>0</v>
      </c>
      <c r="H104" s="107">
        <v>0</v>
      </c>
      <c r="I104" s="107">
        <v>0</v>
      </c>
    </row>
    <row r="105" spans="2:9">
      <c r="B105" s="106" t="s">
        <v>77</v>
      </c>
      <c r="C105" s="108">
        <v>3.6510479549499562E-2</v>
      </c>
      <c r="D105" s="108">
        <v>3.6510479549499562E-2</v>
      </c>
      <c r="E105" s="108">
        <v>3.6510479549499562E-2</v>
      </c>
      <c r="F105" s="108">
        <v>3.6510479549499562E-2</v>
      </c>
      <c r="G105" s="108">
        <v>3.6510479549499562E-2</v>
      </c>
      <c r="H105" s="74"/>
      <c r="I105" s="74"/>
    </row>
    <row r="106" spans="2:9">
      <c r="B106" s="106" t="s">
        <v>78</v>
      </c>
      <c r="C106" s="108">
        <v>2.7462875901387192E-2</v>
      </c>
      <c r="D106" s="108">
        <v>2.7462875901387192E-2</v>
      </c>
      <c r="E106" s="108">
        <v>2.7462875901387192E-2</v>
      </c>
      <c r="F106" s="108">
        <v>2.7462875901387192E-2</v>
      </c>
      <c r="G106" s="108">
        <v>2.7462875901387192E-2</v>
      </c>
      <c r="H106" s="74"/>
      <c r="I106" s="74"/>
    </row>
    <row r="107" spans="2:9">
      <c r="B107" s="106" t="s">
        <v>79</v>
      </c>
      <c r="C107" s="108">
        <v>1.7082326729376533E-2</v>
      </c>
      <c r="D107" s="108">
        <v>1.7082326729376533E-2</v>
      </c>
      <c r="E107" s="108">
        <v>1.7082326729376533E-2</v>
      </c>
      <c r="F107" s="108">
        <v>1.7082326729376533E-2</v>
      </c>
      <c r="G107" s="108">
        <v>1.7082326729376533E-2</v>
      </c>
      <c r="H107" s="74"/>
      <c r="I107" s="74"/>
    </row>
    <row r="108" spans="2:9">
      <c r="B108" s="106" t="s">
        <v>80</v>
      </c>
      <c r="C108" s="108">
        <v>2.5713646682447938E-2</v>
      </c>
      <c r="D108" s="108">
        <v>2.5713646682447938E-2</v>
      </c>
      <c r="E108" s="108">
        <v>2.5713646682447938E-2</v>
      </c>
      <c r="F108" s="108">
        <v>2.5713646682447938E-2</v>
      </c>
      <c r="G108" s="108">
        <v>2.5713646682447938E-2</v>
      </c>
      <c r="H108" s="74"/>
      <c r="I108" s="74"/>
    </row>
    <row r="109" spans="2:9">
      <c r="B109" s="106" t="s">
        <v>81</v>
      </c>
      <c r="C109" s="108">
        <v>0.4206045538022069</v>
      </c>
      <c r="D109" s="108">
        <v>0.4206045538022069</v>
      </c>
      <c r="E109" s="108">
        <v>0.4206045538022069</v>
      </c>
      <c r="F109" s="108">
        <v>0.4206045538022069</v>
      </c>
      <c r="G109" s="108">
        <v>0.4206045538022069</v>
      </c>
      <c r="H109" s="74"/>
      <c r="I109" s="74"/>
    </row>
    <row r="110" spans="2:9">
      <c r="B110" s="106" t="s">
        <v>82</v>
      </c>
      <c r="C110" s="107">
        <v>0</v>
      </c>
      <c r="D110" s="107">
        <v>0</v>
      </c>
      <c r="E110" s="107">
        <v>0</v>
      </c>
      <c r="F110" s="107">
        <v>0</v>
      </c>
      <c r="G110" s="107">
        <v>0</v>
      </c>
      <c r="H110" s="74"/>
      <c r="I110" s="74"/>
    </row>
    <row r="111" spans="2:9">
      <c r="B111" s="106" t="s">
        <v>83</v>
      </c>
      <c r="C111" s="107">
        <v>0</v>
      </c>
      <c r="D111" s="107">
        <v>0</v>
      </c>
      <c r="E111" s="107">
        <v>0</v>
      </c>
      <c r="F111" s="107">
        <v>0</v>
      </c>
      <c r="G111" s="107">
        <v>0</v>
      </c>
      <c r="H111" s="74"/>
      <c r="I111" s="74"/>
    </row>
    <row r="112" spans="2:9">
      <c r="B112" s="106" t="s">
        <v>84</v>
      </c>
      <c r="C112" s="107">
        <v>0</v>
      </c>
      <c r="D112" s="107">
        <v>0</v>
      </c>
      <c r="E112" s="107">
        <v>0</v>
      </c>
      <c r="F112" s="107">
        <v>0</v>
      </c>
      <c r="G112" s="107">
        <v>0</v>
      </c>
      <c r="H112" s="74"/>
      <c r="I112" s="74"/>
    </row>
    <row r="113" spans="1:14">
      <c r="B113" s="106" t="s">
        <v>85</v>
      </c>
      <c r="C113" s="109">
        <v>-4.3390000000000004</v>
      </c>
      <c r="D113" s="109">
        <v>-4.3390000000000004</v>
      </c>
      <c r="E113" s="109">
        <v>-4.3390000000000004</v>
      </c>
      <c r="F113" s="109">
        <v>-4.3390000000000004</v>
      </c>
      <c r="G113" s="109">
        <v>-4.3390000000000004</v>
      </c>
      <c r="H113" s="74"/>
      <c r="I113" s="74"/>
    </row>
    <row r="114" spans="1:14">
      <c r="B114" s="106" t="s">
        <v>86</v>
      </c>
      <c r="C114" s="107">
        <v>0</v>
      </c>
      <c r="D114" s="107">
        <v>0</v>
      </c>
      <c r="E114" s="107">
        <v>0</v>
      </c>
      <c r="F114" s="107">
        <v>0</v>
      </c>
      <c r="G114" s="107">
        <v>0</v>
      </c>
      <c r="H114" s="74"/>
      <c r="I114" s="74"/>
    </row>
    <row r="115" spans="1:14">
      <c r="B115" s="106" t="s">
        <v>87</v>
      </c>
      <c r="C115" s="109">
        <v>-4.3390000000000004</v>
      </c>
      <c r="D115" s="109">
        <v>-4.3390000000000004</v>
      </c>
      <c r="E115" s="109">
        <v>-4.3390000000000004</v>
      </c>
      <c r="F115" s="109">
        <v>-4.3390000000000004</v>
      </c>
      <c r="G115" s="109">
        <v>-4.3390000000000004</v>
      </c>
      <c r="H115" s="74"/>
      <c r="I115" s="74"/>
    </row>
    <row r="116" spans="1:14">
      <c r="B116" s="106" t="s">
        <v>88</v>
      </c>
      <c r="C116" s="112">
        <v>-13</v>
      </c>
      <c r="D116" s="112">
        <v>-13</v>
      </c>
      <c r="E116" s="112">
        <v>-13</v>
      </c>
      <c r="F116" s="112">
        <v>-13</v>
      </c>
      <c r="G116" s="112">
        <v>-13</v>
      </c>
      <c r="H116" s="74"/>
      <c r="I116" s="74"/>
    </row>
    <row r="117" spans="1:14">
      <c r="B117" s="106" t="s">
        <v>4</v>
      </c>
      <c r="C117" s="107">
        <v>0</v>
      </c>
      <c r="D117" s="107">
        <v>0</v>
      </c>
      <c r="E117" s="107">
        <v>0</v>
      </c>
      <c r="F117" s="107">
        <v>0</v>
      </c>
      <c r="G117" s="107">
        <v>0</v>
      </c>
      <c r="H117" s="74"/>
      <c r="I117" s="74"/>
    </row>
    <row r="118" spans="1:14">
      <c r="B118" s="106" t="s">
        <v>89</v>
      </c>
      <c r="C118" s="108">
        <v>1</v>
      </c>
      <c r="D118" s="108">
        <v>1</v>
      </c>
      <c r="E118" s="108">
        <v>1</v>
      </c>
      <c r="F118" s="108">
        <v>1</v>
      </c>
      <c r="G118" s="108">
        <v>1</v>
      </c>
      <c r="H118" s="74"/>
      <c r="I118" s="74"/>
    </row>
    <row r="119" spans="1:14">
      <c r="B119" s="110" t="s">
        <v>46</v>
      </c>
      <c r="C119" s="108">
        <v>4.3620000000000001</v>
      </c>
      <c r="D119" s="108">
        <v>4.3620000000000001</v>
      </c>
      <c r="E119" s="111">
        <v>4.3620000000000001</v>
      </c>
      <c r="F119" s="111">
        <v>4.3620000000000001</v>
      </c>
      <c r="G119" s="111">
        <v>4.3620000000000001</v>
      </c>
      <c r="H119" s="74"/>
      <c r="I119" s="74"/>
    </row>
    <row r="120" spans="1:14">
      <c r="B120" s="34"/>
    </row>
    <row r="121" spans="1:14">
      <c r="B121" s="150" t="str">
        <f>LEFT('RFPR cover'!C8,2)</f>
        <v>ET</v>
      </c>
      <c r="C121" s="254"/>
      <c r="D121" s="254"/>
      <c r="E121" s="254"/>
      <c r="F121" s="254"/>
      <c r="G121" s="254"/>
      <c r="H121" s="254"/>
      <c r="I121" s="254"/>
      <c r="J121" s="254"/>
      <c r="K121" s="254"/>
      <c r="L121" s="151"/>
    </row>
    <row r="122" spans="1:14">
      <c r="A122" s="36"/>
      <c r="B122" s="59" t="s">
        <v>91</v>
      </c>
      <c r="C122" s="60"/>
      <c r="D122" s="60"/>
      <c r="E122" s="60"/>
      <c r="F122" s="58"/>
      <c r="G122" s="58"/>
      <c r="H122" s="58"/>
      <c r="I122" s="58"/>
      <c r="J122" s="58"/>
      <c r="K122" s="58"/>
      <c r="L122" s="58"/>
      <c r="M122" s="58"/>
      <c r="N122" s="58"/>
    </row>
    <row r="123" spans="1:14">
      <c r="A123" s="36"/>
      <c r="B123" s="83"/>
      <c r="C123" s="84"/>
      <c r="D123" s="84"/>
      <c r="E123" s="84"/>
      <c r="F123" s="85"/>
      <c r="G123" s="85"/>
      <c r="H123" s="85"/>
      <c r="I123" s="85"/>
    </row>
    <row r="124" spans="1:14">
      <c r="A124" s="35"/>
      <c r="B124" s="255" t="s">
        <v>92</v>
      </c>
      <c r="C124" s="37"/>
      <c r="D124" s="37"/>
      <c r="E124" s="277" t="b">
        <f>OR((LEFT('RFPR cover'!$C$8,2)=Data!G124),'RFPR cover'!$C$7=Data!G124)</f>
        <v>0</v>
      </c>
      <c r="F124" s="324">
        <f t="shared" ref="F124:F127" si="20">IF(E124,1,0)</f>
        <v>0</v>
      </c>
      <c r="G124" s="278" t="str">
        <f>B133</f>
        <v>ED</v>
      </c>
    </row>
    <row r="125" spans="1:14" ht="16.5" customHeight="1">
      <c r="A125" s="35"/>
      <c r="B125" s="87" t="str">
        <f t="shared" ref="B125:B130" si="21">IF(SUM($F$124:$F$130)=0,"",CHOOSE(MATCH(TRUE,$E$124:$E$130,0),B134,B144,B154,B164,E164,B174,E174)&amp;"")</f>
        <v>Energy not supplied ODI - (SpC 4.2)</v>
      </c>
      <c r="C125" s="37"/>
      <c r="D125" s="37"/>
      <c r="E125" s="321" t="b">
        <f>OR((LEFT('RFPR cover'!$C$8,2)=Data!G125),'RFPR cover'!$C$7=Data!G125)</f>
        <v>0</v>
      </c>
      <c r="F125" s="267">
        <f t="shared" si="20"/>
        <v>0</v>
      </c>
      <c r="G125" s="268" t="str">
        <f>B143</f>
        <v>GD</v>
      </c>
    </row>
    <row r="126" spans="1:14">
      <c r="A126" s="35"/>
      <c r="B126" s="87" t="str">
        <f t="shared" si="21"/>
        <v>Insulation And Interruption Gas emissions ODI - (SpC 4.3)</v>
      </c>
      <c r="C126" s="37"/>
      <c r="D126" s="37"/>
      <c r="E126" s="321" t="b">
        <f>OR((LEFT('RFPR cover'!$C$8,2)=Data!G126),'RFPR cover'!$C$7=Data!G126)</f>
        <v>0</v>
      </c>
      <c r="F126" s="267">
        <f t="shared" si="20"/>
        <v>0</v>
      </c>
      <c r="G126" s="269" t="str">
        <f>B153</f>
        <v>NGGT (TO)</v>
      </c>
    </row>
    <row r="127" spans="1:14">
      <c r="A127" s="35"/>
      <c r="B127" s="87" t="str">
        <f t="shared" si="21"/>
        <v>Timely Connections ODI - (SpC 4.4)</v>
      </c>
      <c r="C127" s="37"/>
      <c r="D127" s="37"/>
      <c r="E127" s="321" t="b">
        <f>OR((LEFT('RFPR cover'!$C$8,2)=Data!G127),'RFPR cover'!$C$7=Data!G127)</f>
        <v>0</v>
      </c>
      <c r="F127" s="267">
        <f t="shared" si="20"/>
        <v>0</v>
      </c>
      <c r="G127" s="269" t="str">
        <f>B163</f>
        <v>NGET (TO)</v>
      </c>
    </row>
    <row r="128" spans="1:14">
      <c r="A128" s="35"/>
      <c r="B128" s="87" t="str">
        <f t="shared" si="21"/>
        <v>Quality of connections satisfaction survey ODI - (SpC 4.5)</v>
      </c>
      <c r="C128" s="37"/>
      <c r="D128" s="37"/>
      <c r="E128" s="321" t="b">
        <f>OR((LEFT('RFPR cover'!$C$8,2)=Data!G128),'RFPR cover'!$C$7=Data!G128)</f>
        <v>0</v>
      </c>
      <c r="F128" s="267">
        <f t="shared" ref="F128" si="22">IF(E128,1,0)</f>
        <v>0</v>
      </c>
      <c r="G128" s="269" t="s">
        <v>4</v>
      </c>
    </row>
    <row r="129" spans="1:7">
      <c r="A129" s="35"/>
      <c r="B129" s="87" t="str">
        <f t="shared" si="21"/>
        <v>SO-TO Optimisation ODI - (SpC 4.7)</v>
      </c>
      <c r="C129" s="37"/>
      <c r="D129" s="37"/>
      <c r="E129" s="321" t="b">
        <f>OR((LEFT('RFPR cover'!$C$8,2)=Data!G129),'RFPR cover'!$C$7=Data!G129)</f>
        <v>1</v>
      </c>
      <c r="F129" s="267">
        <f>IF(E129,1,0)</f>
        <v>1</v>
      </c>
      <c r="G129" s="269" t="str">
        <f>B173</f>
        <v>SPT</v>
      </c>
    </row>
    <row r="130" spans="1:7">
      <c r="A130" s="35"/>
      <c r="B130" s="87" t="str">
        <f t="shared" si="21"/>
        <v>Environmental scorecard ODI - (SpC 4.6)</v>
      </c>
      <c r="C130" s="37"/>
      <c r="D130" s="37"/>
      <c r="E130" s="270" t="b">
        <f>OR((LEFT('RFPR cover'!$C$8,2)=Data!G130),'RFPR cover'!$C$7=Data!G130)</f>
        <v>0</v>
      </c>
      <c r="F130" s="271">
        <f>IF(E130,1,0)</f>
        <v>0</v>
      </c>
      <c r="G130" s="272" t="s">
        <v>46</v>
      </c>
    </row>
    <row r="131" spans="1:7">
      <c r="A131" s="35"/>
      <c r="B131" s="87" t="str">
        <f>IF(SUM($F$124:$F$130)=0,"",CHOOSE(MATCH(TRUE,$E$124:$E$130,0),B140,B150,B160,B170,B180,E180)&amp;"")</f>
        <v/>
      </c>
      <c r="C131" s="37"/>
      <c r="D131" s="37"/>
    </row>
    <row r="132" spans="1:7">
      <c r="A132" s="35"/>
      <c r="B132" s="37"/>
      <c r="C132" s="37"/>
      <c r="D132" s="37"/>
      <c r="E132" s="11"/>
      <c r="F132" s="86"/>
    </row>
    <row r="133" spans="1:7">
      <c r="A133" s="35"/>
      <c r="B133" s="774" t="s">
        <v>19</v>
      </c>
      <c r="C133" s="775"/>
      <c r="D133" s="37"/>
      <c r="E133" s="37"/>
    </row>
    <row r="134" spans="1:7">
      <c r="A134" s="35"/>
      <c r="B134" s="777" t="s">
        <v>93</v>
      </c>
      <c r="C134" s="778"/>
      <c r="D134" s="37"/>
      <c r="E134" s="37"/>
    </row>
    <row r="135" spans="1:7">
      <c r="A135" s="35"/>
      <c r="B135" s="770" t="s">
        <v>94</v>
      </c>
      <c r="C135" s="776"/>
      <c r="D135" s="37"/>
      <c r="E135" s="37"/>
    </row>
    <row r="136" spans="1:7">
      <c r="A136" s="35"/>
      <c r="B136" s="770" t="s">
        <v>95</v>
      </c>
      <c r="C136" s="776"/>
      <c r="D136" s="37"/>
      <c r="E136" s="37"/>
    </row>
    <row r="137" spans="1:7">
      <c r="A137" s="35"/>
      <c r="B137" s="770" t="s">
        <v>96</v>
      </c>
      <c r="C137" s="776"/>
      <c r="D137" s="37"/>
      <c r="E137" s="37"/>
    </row>
    <row r="138" spans="1:7">
      <c r="A138" s="35"/>
      <c r="B138" s="770" t="s">
        <v>97</v>
      </c>
      <c r="C138" s="776"/>
      <c r="D138" s="37"/>
      <c r="E138" s="37"/>
    </row>
    <row r="139" spans="1:7">
      <c r="A139" s="35"/>
      <c r="B139" s="770"/>
      <c r="C139" s="776"/>
      <c r="D139" s="37"/>
      <c r="E139" s="37"/>
    </row>
    <row r="140" spans="1:7">
      <c r="A140" s="35"/>
      <c r="B140" s="782"/>
      <c r="C140" s="783"/>
      <c r="D140" s="37"/>
      <c r="E140" s="37"/>
    </row>
    <row r="141" spans="1:7">
      <c r="A141" s="35"/>
      <c r="B141" s="37"/>
      <c r="C141" s="37"/>
      <c r="D141" s="37"/>
      <c r="E141" s="37"/>
    </row>
    <row r="142" spans="1:7">
      <c r="A142" s="35"/>
      <c r="B142" s="37"/>
      <c r="C142" s="37"/>
      <c r="D142" s="37"/>
      <c r="E142" s="37"/>
    </row>
    <row r="143" spans="1:7">
      <c r="A143" s="35"/>
      <c r="B143" s="774" t="s">
        <v>25</v>
      </c>
      <c r="C143" s="775"/>
      <c r="D143" s="37"/>
      <c r="E143" s="37"/>
    </row>
    <row r="144" spans="1:7">
      <c r="A144" s="35"/>
      <c r="B144" s="777" t="s">
        <v>98</v>
      </c>
      <c r="C144" s="778"/>
      <c r="E144" s="37"/>
    </row>
    <row r="145" spans="1:9">
      <c r="A145" s="35"/>
      <c r="B145" s="770" t="s">
        <v>99</v>
      </c>
      <c r="C145" s="776"/>
      <c r="D145" s="37"/>
      <c r="E145" s="37"/>
    </row>
    <row r="146" spans="1:9" ht="25.5" customHeight="1">
      <c r="A146" s="35"/>
      <c r="B146" s="770" t="s">
        <v>100</v>
      </c>
      <c r="C146" s="776"/>
      <c r="D146" s="37"/>
      <c r="E146" s="37"/>
    </row>
    <row r="147" spans="1:9" ht="25.5" customHeight="1">
      <c r="A147" s="35"/>
      <c r="B147" s="770" t="s">
        <v>101</v>
      </c>
      <c r="C147" s="776"/>
      <c r="D147" s="37"/>
      <c r="E147" s="37"/>
    </row>
    <row r="148" spans="1:9" ht="14.25" customHeight="1">
      <c r="A148" s="35"/>
      <c r="B148" s="770" t="s">
        <v>102</v>
      </c>
      <c r="C148" s="776"/>
      <c r="D148" s="37"/>
      <c r="E148" s="37"/>
    </row>
    <row r="149" spans="1:9" ht="25.5" customHeight="1">
      <c r="A149" s="35"/>
      <c r="B149" s="770" t="s">
        <v>103</v>
      </c>
      <c r="C149" s="776"/>
      <c r="D149" s="37"/>
      <c r="E149" s="37"/>
    </row>
    <row r="150" spans="1:9">
      <c r="A150" s="35"/>
      <c r="B150" s="782"/>
      <c r="C150" s="783"/>
      <c r="D150" s="37"/>
      <c r="E150" s="37"/>
    </row>
    <row r="151" spans="1:9">
      <c r="A151" s="35"/>
      <c r="B151" s="37"/>
      <c r="C151" s="37"/>
      <c r="D151" s="37"/>
      <c r="E151" s="37"/>
    </row>
    <row r="152" spans="1:9">
      <c r="A152" s="35"/>
      <c r="B152" s="37"/>
      <c r="C152" s="37"/>
      <c r="D152" s="37"/>
      <c r="E152" s="37"/>
    </row>
    <row r="153" spans="1:9">
      <c r="A153" s="35"/>
      <c r="B153" s="749" t="s">
        <v>85</v>
      </c>
      <c r="C153" s="750"/>
      <c r="D153" s="37"/>
      <c r="E153" s="125"/>
      <c r="F153" s="13"/>
      <c r="G153" s="13"/>
      <c r="H153" s="13"/>
      <c r="I153" s="13"/>
    </row>
    <row r="154" spans="1:9">
      <c r="A154" s="35"/>
      <c r="B154" s="777" t="s">
        <v>104</v>
      </c>
      <c r="C154" s="778"/>
      <c r="E154" s="82"/>
      <c r="F154" s="82"/>
      <c r="G154" s="82"/>
      <c r="H154" s="82"/>
      <c r="I154" s="82"/>
    </row>
    <row r="155" spans="1:9">
      <c r="A155" s="35"/>
      <c r="B155" s="770" t="s">
        <v>105</v>
      </c>
      <c r="C155" s="776"/>
      <c r="E155" s="82"/>
      <c r="F155" s="82"/>
      <c r="G155" s="82"/>
      <c r="H155" s="82"/>
      <c r="I155" s="82"/>
    </row>
    <row r="156" spans="1:9">
      <c r="A156" s="35"/>
      <c r="B156" s="770"/>
      <c r="C156" s="776"/>
      <c r="D156" s="37"/>
      <c r="E156" s="82"/>
      <c r="F156" s="82"/>
      <c r="G156" s="82"/>
      <c r="H156" s="82"/>
      <c r="I156" s="82"/>
    </row>
    <row r="157" spans="1:9">
      <c r="A157" s="35"/>
      <c r="B157" s="770"/>
      <c r="C157" s="776"/>
      <c r="D157" s="37"/>
      <c r="E157" s="82"/>
      <c r="F157" s="82"/>
      <c r="G157" s="82"/>
      <c r="H157" s="82"/>
      <c r="I157" s="82"/>
    </row>
    <row r="158" spans="1:9">
      <c r="A158" s="35"/>
      <c r="B158" s="770"/>
      <c r="C158" s="776"/>
      <c r="D158" s="37"/>
      <c r="E158" s="82"/>
      <c r="F158" s="82"/>
      <c r="G158" s="82"/>
      <c r="H158" s="82"/>
      <c r="I158" s="82"/>
    </row>
    <row r="159" spans="1:9">
      <c r="A159" s="35"/>
      <c r="B159" s="770"/>
      <c r="C159" s="776"/>
      <c r="D159" s="37"/>
      <c r="E159" s="82"/>
      <c r="F159" s="82"/>
      <c r="G159" s="82"/>
      <c r="H159" s="82"/>
      <c r="I159" s="82"/>
    </row>
    <row r="160" spans="1:9" ht="12" customHeight="1">
      <c r="A160" s="35"/>
      <c r="B160" s="782"/>
      <c r="C160" s="783"/>
      <c r="D160" s="37"/>
      <c r="E160" s="82"/>
      <c r="F160" s="82"/>
      <c r="G160" s="82"/>
      <c r="H160" s="82"/>
      <c r="I160" s="82"/>
    </row>
    <row r="161" spans="1:9">
      <c r="A161" s="35"/>
      <c r="B161" s="37"/>
      <c r="C161" s="37"/>
      <c r="D161" s="37"/>
      <c r="E161" s="37"/>
    </row>
    <row r="162" spans="1:9">
      <c r="A162" s="35"/>
      <c r="B162" s="37"/>
      <c r="C162" s="37"/>
      <c r="D162" s="37"/>
      <c r="E162" s="37"/>
    </row>
    <row r="163" spans="1:9">
      <c r="A163" s="35"/>
      <c r="B163" s="749" t="s">
        <v>88</v>
      </c>
      <c r="C163" s="750"/>
      <c r="D163" s="37"/>
      <c r="E163" s="749" t="s">
        <v>4</v>
      </c>
      <c r="F163" s="749"/>
      <c r="G163" s="749"/>
      <c r="H163" s="750"/>
      <c r="I163" s="13"/>
    </row>
    <row r="164" spans="1:9" ht="13.5" customHeight="1">
      <c r="A164" s="35"/>
      <c r="B164" s="777" t="s">
        <v>106</v>
      </c>
      <c r="C164" s="778"/>
      <c r="E164" s="774" t="s">
        <v>107</v>
      </c>
      <c r="F164" s="786"/>
      <c r="G164" s="786"/>
      <c r="H164" s="787"/>
      <c r="I164" s="82"/>
    </row>
    <row r="165" spans="1:9" ht="12.75" customHeight="1">
      <c r="A165" s="35"/>
      <c r="B165" s="770" t="s">
        <v>108</v>
      </c>
      <c r="C165" s="776"/>
      <c r="E165" s="788"/>
      <c r="F165" s="788"/>
      <c r="G165" s="788"/>
      <c r="H165" s="789"/>
      <c r="I165" s="82"/>
    </row>
    <row r="166" spans="1:9" ht="13.5" customHeight="1">
      <c r="A166" s="35"/>
      <c r="B166" s="770" t="s">
        <v>109</v>
      </c>
      <c r="C166" s="776"/>
      <c r="E166" s="753"/>
      <c r="F166" s="753"/>
      <c r="G166" s="753"/>
      <c r="H166" s="754"/>
      <c r="I166" s="82"/>
    </row>
    <row r="167" spans="1:9" ht="12.75" customHeight="1">
      <c r="A167" s="35"/>
      <c r="B167" s="770" t="s">
        <v>110</v>
      </c>
      <c r="C167" s="776"/>
      <c r="E167" s="753"/>
      <c r="F167" s="753"/>
      <c r="G167" s="753"/>
      <c r="H167" s="754"/>
      <c r="I167" s="82"/>
    </row>
    <row r="168" spans="1:9" ht="13.5" customHeight="1">
      <c r="A168" s="35"/>
      <c r="B168" s="770" t="s">
        <v>111</v>
      </c>
      <c r="C168" s="776"/>
      <c r="E168" s="753"/>
      <c r="F168" s="753"/>
      <c r="G168" s="753"/>
      <c r="H168" s="754"/>
      <c r="I168" s="82"/>
    </row>
    <row r="169" spans="1:9" ht="13.5" customHeight="1">
      <c r="A169" s="35"/>
      <c r="B169" s="770" t="s">
        <v>112</v>
      </c>
      <c r="C169" s="776"/>
      <c r="E169" s="753"/>
      <c r="F169" s="753"/>
      <c r="G169" s="753"/>
      <c r="H169" s="754"/>
      <c r="I169" s="82"/>
    </row>
    <row r="170" spans="1:9">
      <c r="A170" s="35"/>
      <c r="B170" s="782"/>
      <c r="C170" s="783"/>
      <c r="D170" s="37"/>
      <c r="E170" s="785"/>
      <c r="F170" s="785"/>
      <c r="G170" s="82"/>
      <c r="H170" s="82"/>
      <c r="I170" s="82"/>
    </row>
    <row r="171" spans="1:9" ht="12.75" customHeight="1">
      <c r="A171" s="35"/>
      <c r="B171" s="35"/>
      <c r="C171" s="35"/>
      <c r="D171" s="37"/>
      <c r="E171" s="82"/>
      <c r="F171" s="82"/>
      <c r="G171" s="82"/>
      <c r="H171" s="82"/>
      <c r="I171" s="82"/>
    </row>
    <row r="172" spans="1:9" ht="12.75" customHeight="1">
      <c r="A172" s="35"/>
      <c r="B172" s="35"/>
      <c r="C172" s="35"/>
      <c r="D172" s="37"/>
      <c r="E172" s="82"/>
      <c r="F172" s="82"/>
      <c r="G172" s="82"/>
      <c r="H172" s="82"/>
      <c r="I172" s="82"/>
    </row>
    <row r="173" spans="1:9" ht="12.75" customHeight="1">
      <c r="A173" s="35"/>
      <c r="B173" s="749" t="s">
        <v>89</v>
      </c>
      <c r="C173" s="750"/>
      <c r="D173" s="37"/>
      <c r="E173" s="749" t="s">
        <v>46</v>
      </c>
      <c r="F173" s="749"/>
      <c r="G173" s="749"/>
      <c r="H173" s="750"/>
      <c r="I173" s="128"/>
    </row>
    <row r="174" spans="1:9" ht="12.75" customHeight="1">
      <c r="A174" s="35"/>
      <c r="B174" s="777" t="s">
        <v>106</v>
      </c>
      <c r="C174" s="784"/>
      <c r="E174" s="779" t="s">
        <v>106</v>
      </c>
      <c r="F174" s="780"/>
      <c r="G174" s="780"/>
      <c r="H174" s="781"/>
      <c r="I174" s="82"/>
    </row>
    <row r="175" spans="1:9" ht="12.75" customHeight="1">
      <c r="A175" s="35"/>
      <c r="B175" s="770" t="s">
        <v>108</v>
      </c>
      <c r="C175" s="771"/>
      <c r="E175" s="779" t="s">
        <v>108</v>
      </c>
      <c r="F175" s="780"/>
      <c r="G175" s="780"/>
      <c r="H175" s="781"/>
      <c r="I175" s="82"/>
    </row>
    <row r="176" spans="1:9" ht="12.75" customHeight="1">
      <c r="A176" s="35"/>
      <c r="B176" s="770" t="s">
        <v>109</v>
      </c>
      <c r="C176" s="771"/>
      <c r="E176" s="779" t="s">
        <v>109</v>
      </c>
      <c r="F176" s="780"/>
      <c r="G176" s="780"/>
      <c r="H176" s="781"/>
      <c r="I176" s="82"/>
    </row>
    <row r="177" spans="1:13" ht="12.75" customHeight="1">
      <c r="A177" s="35"/>
      <c r="B177" s="770" t="s">
        <v>110</v>
      </c>
      <c r="C177" s="771"/>
      <c r="E177" s="779" t="s">
        <v>110</v>
      </c>
      <c r="F177" s="780"/>
      <c r="G177" s="780"/>
      <c r="H177" s="781"/>
      <c r="I177" s="82"/>
    </row>
    <row r="178" spans="1:13" ht="12.75" customHeight="1">
      <c r="A178" s="35"/>
      <c r="B178" s="770" t="s">
        <v>111</v>
      </c>
      <c r="C178" s="771"/>
      <c r="E178" s="779" t="s">
        <v>111</v>
      </c>
      <c r="F178" s="780"/>
      <c r="G178" s="780"/>
      <c r="H178" s="781"/>
      <c r="I178" s="82"/>
    </row>
    <row r="179" spans="1:13" ht="12.75" customHeight="1">
      <c r="A179" s="35"/>
      <c r="B179" s="770" t="s">
        <v>112</v>
      </c>
      <c r="C179" s="771"/>
      <c r="E179" s="779" t="s">
        <v>112</v>
      </c>
      <c r="F179" s="780"/>
      <c r="G179" s="780"/>
      <c r="H179" s="781"/>
      <c r="I179" s="82"/>
    </row>
    <row r="180" spans="1:13">
      <c r="A180" s="35"/>
      <c r="B180" s="747"/>
      <c r="C180" s="748"/>
      <c r="D180" s="37"/>
      <c r="E180" s="747"/>
      <c r="F180" s="747"/>
      <c r="G180" s="747"/>
      <c r="H180" s="748"/>
      <c r="I180" s="82"/>
    </row>
    <row r="181" spans="1:13" ht="12.6" customHeight="1">
      <c r="A181" s="35"/>
      <c r="D181" s="37"/>
      <c r="E181" s="37"/>
    </row>
    <row r="182" spans="1:13" ht="12.6" customHeight="1">
      <c r="A182" s="35"/>
      <c r="B182" s="59" t="s">
        <v>113</v>
      </c>
      <c r="C182" s="60"/>
      <c r="D182" s="60"/>
      <c r="E182" s="60"/>
      <c r="F182" s="58"/>
      <c r="G182" s="58"/>
      <c r="H182" s="58"/>
      <c r="I182" s="58"/>
      <c r="J182" s="58"/>
      <c r="K182" s="58"/>
      <c r="L182" s="58"/>
      <c r="M182" s="58"/>
    </row>
    <row r="183" spans="1:13" ht="12.6" customHeight="1">
      <c r="A183" s="35"/>
      <c r="B183" s="83"/>
      <c r="C183" s="84"/>
      <c r="D183" s="84"/>
      <c r="E183" s="84"/>
      <c r="F183" s="85"/>
      <c r="G183" s="85"/>
      <c r="H183" s="85"/>
      <c r="I183" s="85"/>
    </row>
    <row r="184" spans="1:13" ht="12.6" customHeight="1">
      <c r="A184" s="35"/>
      <c r="B184" s="255" t="s">
        <v>114</v>
      </c>
      <c r="C184" s="37"/>
      <c r="D184" s="37"/>
      <c r="E184" s="277" t="b">
        <f>OR((LEFT('RFPR cover'!$C$8,2)=Data!F184),'RFPR cover'!$C$7=Data!F184)</f>
        <v>0</v>
      </c>
      <c r="F184" s="278" t="str">
        <f>B195</f>
        <v>ED</v>
      </c>
    </row>
    <row r="185" spans="1:13" ht="19.5" customHeight="1">
      <c r="A185" s="35"/>
      <c r="B185" s="87" t="str">
        <f>CHOOSE(MATCH(TRUE,$E$184:$E$192,0),B196,B207,B218,E218,B229,E229,B240,E240,B251)&amp;""</f>
        <v>RIIO-2 network innovation allowance - (SpC 5.2)</v>
      </c>
      <c r="C185" s="37"/>
      <c r="D185" s="37"/>
      <c r="E185" s="321" t="b">
        <f>OR((LEFT('RFPR cover'!$C$8,2)=Data!F185),'RFPR cover'!$C$7=Data!F185)</f>
        <v>0</v>
      </c>
      <c r="F185" s="268" t="str">
        <f>B206</f>
        <v>GD</v>
      </c>
    </row>
    <row r="186" spans="1:13" ht="22.5" customHeight="1">
      <c r="A186" s="35"/>
      <c r="B186" s="87" t="str">
        <f t="shared" ref="B186:B192" si="23">CHOOSE(MATCH(TRUE,$E$184:$E$192,0),B197,B208,B219,E219,B230,E230,B241,E241,B252)&amp;""</f>
        <v>Carry-over Network Innovation Allowance - (SpC 5.3)</v>
      </c>
      <c r="C186" s="37"/>
      <c r="D186" s="37"/>
      <c r="E186" s="321" t="b">
        <f>OR((LEFT('RFPR cover'!$C$8,2)=Data!F186),'RFPR cover'!$C$7=Data!F186)</f>
        <v>0</v>
      </c>
      <c r="F186" s="269" t="str">
        <f>B217</f>
        <v>NGGT (TO)</v>
      </c>
    </row>
    <row r="187" spans="1:13" ht="19.5" customHeight="1">
      <c r="A187" s="35"/>
      <c r="B187" s="87" t="str">
        <f t="shared" si="23"/>
        <v/>
      </c>
      <c r="C187" s="37"/>
      <c r="D187" s="37"/>
      <c r="E187" s="321" t="b">
        <f>OR((LEFT('RFPR cover'!$C$8,2)=Data!F187),'RFPR cover'!$C$7=Data!F187)</f>
        <v>0</v>
      </c>
      <c r="F187" s="269" t="str">
        <f>E217</f>
        <v>NGGT (SO)</v>
      </c>
    </row>
    <row r="188" spans="1:13" ht="19.5" customHeight="1">
      <c r="A188" s="35"/>
      <c r="B188" s="87" t="str">
        <f t="shared" si="23"/>
        <v/>
      </c>
      <c r="C188" s="37"/>
      <c r="D188" s="37"/>
      <c r="E188" s="321" t="b">
        <f>OR((LEFT('RFPR cover'!$C$8,2)=Data!F188),'RFPR cover'!$C$7=Data!F188)</f>
        <v>0</v>
      </c>
      <c r="F188" s="269" t="str">
        <f>B228</f>
        <v>NGGT (TO+SO)</v>
      </c>
    </row>
    <row r="189" spans="1:13" ht="19.5" customHeight="1">
      <c r="A189" s="35"/>
      <c r="B189" s="87" t="str">
        <f t="shared" si="23"/>
        <v/>
      </c>
      <c r="C189" s="37"/>
      <c r="D189" s="37"/>
      <c r="E189" s="321" t="b">
        <f>OR((LEFT('RFPR cover'!$C$8,2)=Data!F189),'RFPR cover'!$C$7=Data!F189)</f>
        <v>0</v>
      </c>
      <c r="F189" s="269" t="str">
        <f>E228</f>
        <v>NGET (TO)</v>
      </c>
    </row>
    <row r="190" spans="1:13" ht="19.5" customHeight="1">
      <c r="A190" s="35"/>
      <c r="B190" s="87" t="str">
        <f t="shared" si="23"/>
        <v/>
      </c>
      <c r="C190" s="37"/>
      <c r="D190" s="37"/>
      <c r="E190" s="321" t="b">
        <f>OR((LEFT('RFPR cover'!$C$8,2)=Data!F190),'RFPR cover'!$C$7=Data!F190)</f>
        <v>0</v>
      </c>
      <c r="F190" s="269" t="str">
        <f>B239</f>
        <v>ESO</v>
      </c>
    </row>
    <row r="191" spans="1:13" ht="19.5" customHeight="1">
      <c r="A191" s="35"/>
      <c r="B191" s="87" t="str">
        <f t="shared" si="23"/>
        <v/>
      </c>
      <c r="C191" s="37"/>
      <c r="D191" s="37"/>
      <c r="E191" s="321" t="b">
        <f>OR((LEFT('RFPR cover'!$C$8,2)=Data!F191),'RFPR cover'!$C$7=Data!F191)</f>
        <v>1</v>
      </c>
      <c r="F191" s="269" t="str">
        <f>E239</f>
        <v>SPT</v>
      </c>
    </row>
    <row r="192" spans="1:13" ht="19.5" customHeight="1">
      <c r="A192" s="35"/>
      <c r="B192" s="87" t="str">
        <f t="shared" si="23"/>
        <v/>
      </c>
      <c r="C192" s="37"/>
      <c r="D192" s="37"/>
      <c r="E192" s="270" t="b">
        <f>OR((LEFT('RFPR cover'!$C$8,2)=Data!F192),'RFPR cover'!$C$7=Data!F192)</f>
        <v>0</v>
      </c>
      <c r="F192" s="272" t="str">
        <f>B250</f>
        <v>SHET</v>
      </c>
      <c r="G192" s="37"/>
      <c r="H192" s="37"/>
      <c r="I192" s="37"/>
    </row>
    <row r="193" spans="1:6" ht="12.75" customHeight="1">
      <c r="A193" s="35"/>
      <c r="B193" s="37"/>
      <c r="C193" s="37"/>
      <c r="D193" s="37"/>
      <c r="E193" s="11"/>
      <c r="F193" s="86"/>
    </row>
    <row r="194" spans="1:6" ht="12.75" customHeight="1">
      <c r="A194" s="35"/>
      <c r="B194" s="126"/>
      <c r="C194" s="126"/>
      <c r="D194" s="37"/>
      <c r="E194" s="11"/>
      <c r="F194" s="86"/>
    </row>
    <row r="195" spans="1:6" ht="12.75" customHeight="1">
      <c r="A195" s="35"/>
      <c r="B195" s="772" t="s">
        <v>19</v>
      </c>
      <c r="C195" s="773"/>
      <c r="D195" s="37"/>
      <c r="E195" s="37"/>
    </row>
    <row r="196" spans="1:6" ht="12.75" customHeight="1">
      <c r="A196" s="35"/>
      <c r="B196" s="751"/>
      <c r="C196" s="752"/>
      <c r="D196" s="37"/>
      <c r="E196" s="37"/>
    </row>
    <row r="197" spans="1:6" ht="12.75" customHeight="1">
      <c r="A197" s="35"/>
      <c r="B197" s="753"/>
      <c r="C197" s="754"/>
      <c r="D197" s="37"/>
      <c r="E197" s="37"/>
    </row>
    <row r="198" spans="1:6" ht="12.75" customHeight="1">
      <c r="A198" s="35"/>
      <c r="B198" s="753"/>
      <c r="C198" s="754"/>
      <c r="D198" s="37"/>
      <c r="E198" s="37"/>
    </row>
    <row r="199" spans="1:6" ht="12.75" customHeight="1">
      <c r="A199" s="35"/>
      <c r="B199" s="753"/>
      <c r="C199" s="754"/>
      <c r="D199" s="37"/>
      <c r="E199" s="37"/>
    </row>
    <row r="200" spans="1:6" ht="12.75" customHeight="1">
      <c r="A200" s="35"/>
      <c r="B200" s="753"/>
      <c r="C200" s="754"/>
      <c r="D200" s="37"/>
      <c r="E200" s="37"/>
    </row>
    <row r="201" spans="1:6" ht="12.75" customHeight="1">
      <c r="A201" s="35"/>
      <c r="B201" s="753"/>
      <c r="C201" s="754"/>
      <c r="D201" s="37"/>
      <c r="E201" s="37"/>
    </row>
    <row r="202" spans="1:6">
      <c r="A202" s="35"/>
      <c r="B202" s="753"/>
      <c r="C202" s="754"/>
      <c r="D202" s="37"/>
      <c r="E202" s="37"/>
    </row>
    <row r="203" spans="1:6" ht="12.75" customHeight="1">
      <c r="A203" s="35"/>
      <c r="B203" s="747"/>
      <c r="C203" s="748"/>
      <c r="D203" s="37"/>
      <c r="E203" s="37"/>
    </row>
    <row r="204" spans="1:6" ht="12.75" customHeight="1">
      <c r="A204" s="35"/>
      <c r="B204" s="37"/>
      <c r="C204" s="37"/>
      <c r="D204" s="37"/>
      <c r="E204" s="37"/>
    </row>
    <row r="205" spans="1:6" ht="12.75" customHeight="1">
      <c r="A205" s="35"/>
      <c r="B205" s="37"/>
      <c r="C205" s="37"/>
      <c r="D205" s="37"/>
      <c r="E205" s="37"/>
    </row>
    <row r="206" spans="1:6" ht="12.75" customHeight="1">
      <c r="A206" s="35"/>
      <c r="B206" s="774" t="s">
        <v>25</v>
      </c>
      <c r="C206" s="775"/>
      <c r="D206" s="37"/>
      <c r="E206" s="37"/>
    </row>
    <row r="207" spans="1:6" ht="12.75" customHeight="1">
      <c r="A207" s="35"/>
      <c r="B207" s="751" t="s">
        <v>115</v>
      </c>
      <c r="C207" s="752"/>
      <c r="E207" s="37"/>
    </row>
    <row r="208" spans="1:6" ht="12.75" customHeight="1">
      <c r="A208" s="35"/>
      <c r="B208" s="753" t="s">
        <v>116</v>
      </c>
      <c r="C208" s="754"/>
      <c r="D208" s="37"/>
      <c r="E208" s="37"/>
    </row>
    <row r="209" spans="1:9" ht="12.75" customHeight="1">
      <c r="A209" s="35"/>
      <c r="B209" s="753"/>
      <c r="C209" s="754"/>
      <c r="D209" s="37"/>
      <c r="E209" s="37"/>
    </row>
    <row r="210" spans="1:9" ht="12.75" customHeight="1">
      <c r="A210" s="35"/>
      <c r="B210" s="753"/>
      <c r="C210" s="754"/>
      <c r="D210" s="37"/>
      <c r="E210" s="37"/>
    </row>
    <row r="211" spans="1:9">
      <c r="A211" s="35"/>
      <c r="B211" s="753"/>
      <c r="C211" s="754"/>
      <c r="D211" s="37"/>
      <c r="E211" s="37"/>
    </row>
    <row r="212" spans="1:9">
      <c r="A212" s="35"/>
      <c r="B212" s="753"/>
      <c r="C212" s="754"/>
      <c r="D212" s="37"/>
      <c r="E212" s="37"/>
    </row>
    <row r="213" spans="1:9" ht="12.75" customHeight="1">
      <c r="A213" s="35"/>
      <c r="B213" s="753"/>
      <c r="C213" s="754"/>
      <c r="D213" s="37"/>
      <c r="E213" s="37"/>
    </row>
    <row r="214" spans="1:9">
      <c r="A214" s="35"/>
      <c r="B214" s="747"/>
      <c r="C214" s="748"/>
      <c r="D214" s="37"/>
      <c r="E214" s="37"/>
    </row>
    <row r="215" spans="1:9">
      <c r="A215" s="35"/>
      <c r="B215" s="37"/>
      <c r="C215" s="37"/>
      <c r="D215" s="37"/>
      <c r="E215" s="37"/>
    </row>
    <row r="216" spans="1:9">
      <c r="A216" s="35"/>
      <c r="B216" s="37"/>
      <c r="C216" s="37"/>
      <c r="D216" s="37"/>
      <c r="E216" s="37"/>
    </row>
    <row r="217" spans="1:9">
      <c r="A217" s="35"/>
      <c r="B217" s="178" t="str">
        <f>B78</f>
        <v>NGGT (TO)</v>
      </c>
      <c r="C217" s="156"/>
      <c r="D217" s="37"/>
      <c r="E217" s="749" t="str">
        <f>B79</f>
        <v>NGGT (SO)</v>
      </c>
      <c r="F217" s="749"/>
      <c r="G217" s="749"/>
      <c r="H217" s="749"/>
      <c r="I217" s="750"/>
    </row>
    <row r="218" spans="1:9">
      <c r="A218" s="35"/>
      <c r="B218" s="751" t="s">
        <v>117</v>
      </c>
      <c r="C218" s="752"/>
      <c r="E218" s="755"/>
      <c r="F218" s="756"/>
      <c r="G218" s="756"/>
      <c r="H218" s="756"/>
      <c r="I218" s="757"/>
    </row>
    <row r="219" spans="1:9" ht="25.5" customHeight="1">
      <c r="A219" s="35"/>
      <c r="B219" s="753" t="s">
        <v>118</v>
      </c>
      <c r="C219" s="754"/>
      <c r="E219" s="755"/>
      <c r="F219" s="756"/>
      <c r="G219" s="756"/>
      <c r="H219" s="756"/>
      <c r="I219" s="757"/>
    </row>
    <row r="220" spans="1:9" ht="13.5" customHeight="1">
      <c r="A220" s="35"/>
      <c r="B220" s="753" t="s">
        <v>119</v>
      </c>
      <c r="C220" s="754"/>
      <c r="D220" s="37"/>
      <c r="E220" s="755"/>
      <c r="F220" s="756"/>
      <c r="G220" s="756"/>
      <c r="H220" s="756"/>
      <c r="I220" s="757"/>
    </row>
    <row r="221" spans="1:9" ht="13.5" customHeight="1">
      <c r="A221" s="35"/>
      <c r="B221" s="753"/>
      <c r="C221" s="754"/>
      <c r="D221" s="37"/>
      <c r="E221" s="758" t="s">
        <v>120</v>
      </c>
      <c r="F221" s="759"/>
      <c r="G221" s="759"/>
      <c r="H221" s="759"/>
      <c r="I221" s="760"/>
    </row>
    <row r="222" spans="1:9" ht="13.5" customHeight="1">
      <c r="A222" s="35"/>
      <c r="B222" s="179"/>
      <c r="C222" s="157"/>
      <c r="D222" s="37"/>
      <c r="E222" s="758" t="s">
        <v>121</v>
      </c>
      <c r="F222" s="759"/>
      <c r="G222" s="759"/>
      <c r="H222" s="759"/>
      <c r="I222" s="760"/>
    </row>
    <row r="223" spans="1:9" ht="13.5" customHeight="1">
      <c r="A223" s="35"/>
      <c r="B223" s="753"/>
      <c r="C223" s="754"/>
      <c r="D223" s="37"/>
      <c r="E223" s="758" t="s">
        <v>122</v>
      </c>
      <c r="F223" s="759"/>
      <c r="G223" s="759"/>
      <c r="H223" s="759"/>
      <c r="I223" s="760"/>
    </row>
    <row r="224" spans="1:9" ht="13.5" customHeight="1">
      <c r="A224" s="35"/>
      <c r="B224" s="753"/>
      <c r="C224" s="754"/>
      <c r="D224" s="37"/>
      <c r="E224" s="761" t="s">
        <v>123</v>
      </c>
      <c r="F224" s="762"/>
      <c r="G224" s="762"/>
      <c r="H224" s="762"/>
      <c r="I224" s="763"/>
    </row>
    <row r="225" spans="1:9" ht="12.75" customHeight="1">
      <c r="A225" s="35"/>
      <c r="B225" s="747"/>
      <c r="C225" s="748"/>
      <c r="D225" s="37"/>
      <c r="E225" s="764" t="s">
        <v>124</v>
      </c>
      <c r="F225" s="765"/>
      <c r="G225" s="765"/>
      <c r="H225" s="765"/>
      <c r="I225" s="766"/>
    </row>
    <row r="226" spans="1:9">
      <c r="A226" s="35"/>
      <c r="B226" s="37"/>
      <c r="C226" s="37"/>
      <c r="D226" s="37"/>
      <c r="E226" s="37"/>
    </row>
    <row r="227" spans="1:9" ht="12.75" customHeight="1">
      <c r="A227" s="35"/>
      <c r="B227" s="37"/>
      <c r="C227" s="37"/>
      <c r="D227" s="37"/>
      <c r="E227" s="37"/>
    </row>
    <row r="228" spans="1:9">
      <c r="A228" s="35"/>
      <c r="B228" s="749" t="s">
        <v>87</v>
      </c>
      <c r="C228" s="750"/>
      <c r="D228" s="37"/>
      <c r="E228" s="749" t="s">
        <v>88</v>
      </c>
      <c r="F228" s="749"/>
      <c r="G228" s="749"/>
      <c r="H228" s="749"/>
      <c r="I228" s="750"/>
    </row>
    <row r="229" spans="1:9" ht="12.75" customHeight="1">
      <c r="A229" s="35"/>
      <c r="B229" s="751" t="s">
        <v>117</v>
      </c>
      <c r="C229" s="752"/>
      <c r="E229" s="751" t="s">
        <v>117</v>
      </c>
      <c r="F229" s="751"/>
      <c r="G229" s="751"/>
      <c r="H229" s="751"/>
      <c r="I229" s="752"/>
    </row>
    <row r="230" spans="1:9" ht="12.75" customHeight="1">
      <c r="A230" s="35"/>
      <c r="B230" s="753" t="s">
        <v>118</v>
      </c>
      <c r="C230" s="754"/>
      <c r="E230" s="753" t="s">
        <v>125</v>
      </c>
      <c r="F230" s="753"/>
      <c r="G230" s="753"/>
      <c r="H230" s="753"/>
      <c r="I230" s="754"/>
    </row>
    <row r="231" spans="1:9" ht="12.75" customHeight="1">
      <c r="A231" s="35"/>
      <c r="B231" s="753" t="s">
        <v>119</v>
      </c>
      <c r="C231" s="754"/>
      <c r="E231" s="753"/>
      <c r="F231" s="753"/>
      <c r="G231" s="753"/>
      <c r="H231" s="753"/>
      <c r="I231" s="754"/>
    </row>
    <row r="232" spans="1:9" ht="24" customHeight="1">
      <c r="A232" s="35"/>
      <c r="B232" s="753" t="s">
        <v>126</v>
      </c>
      <c r="C232" s="754"/>
      <c r="E232" s="753"/>
      <c r="F232" s="753"/>
      <c r="G232" s="753"/>
      <c r="H232" s="753"/>
      <c r="I232" s="754"/>
    </row>
    <row r="233" spans="1:9">
      <c r="A233" s="35"/>
      <c r="B233" s="753" t="s">
        <v>121</v>
      </c>
      <c r="C233" s="754"/>
      <c r="E233" s="753"/>
      <c r="F233" s="753"/>
      <c r="G233" s="753"/>
      <c r="H233" s="753"/>
      <c r="I233" s="754"/>
    </row>
    <row r="234" spans="1:9">
      <c r="A234" s="35"/>
      <c r="B234" s="753" t="s">
        <v>122</v>
      </c>
      <c r="C234" s="754"/>
      <c r="E234" s="753"/>
      <c r="F234" s="753"/>
      <c r="G234" s="753"/>
      <c r="H234" s="753"/>
      <c r="I234" s="754"/>
    </row>
    <row r="235" spans="1:9" ht="12.75" customHeight="1">
      <c r="A235" s="35"/>
      <c r="B235" s="753" t="s">
        <v>127</v>
      </c>
      <c r="C235" s="754"/>
      <c r="E235" s="753"/>
      <c r="F235" s="753"/>
      <c r="G235" s="753"/>
      <c r="H235" s="753"/>
      <c r="I235" s="754"/>
    </row>
    <row r="236" spans="1:9" ht="12.75" customHeight="1">
      <c r="A236" s="35"/>
      <c r="B236" s="747" t="s">
        <v>124</v>
      </c>
      <c r="C236" s="748"/>
      <c r="D236" s="37"/>
      <c r="E236" s="747"/>
      <c r="F236" s="747"/>
      <c r="G236" s="747"/>
      <c r="H236" s="747"/>
      <c r="I236" s="748"/>
    </row>
    <row r="237" spans="1:9" ht="12.75" customHeight="1">
      <c r="A237" s="35"/>
      <c r="B237" s="35"/>
      <c r="C237" s="35"/>
      <c r="D237" s="37"/>
      <c r="E237" s="82"/>
      <c r="F237" s="82"/>
      <c r="G237" s="82"/>
      <c r="H237" s="82"/>
      <c r="I237" s="82"/>
    </row>
    <row r="238" spans="1:9" ht="12.75" customHeight="1">
      <c r="A238" s="35"/>
      <c r="B238" s="35"/>
      <c r="C238" s="35"/>
      <c r="D238" s="37"/>
      <c r="E238" s="82"/>
      <c r="F238" s="82"/>
      <c r="G238" s="82"/>
      <c r="H238" s="82"/>
      <c r="I238" s="82"/>
    </row>
    <row r="239" spans="1:9" ht="12.75" customHeight="1">
      <c r="A239" s="35"/>
      <c r="B239" s="749" t="s">
        <v>4</v>
      </c>
      <c r="C239" s="750"/>
      <c r="D239" s="37"/>
      <c r="E239" s="749" t="s">
        <v>89</v>
      </c>
      <c r="F239" s="749"/>
      <c r="G239" s="749"/>
      <c r="H239" s="749"/>
      <c r="I239" s="750"/>
    </row>
    <row r="240" spans="1:9" ht="12.75" customHeight="1">
      <c r="A240" s="35"/>
      <c r="B240" s="751" t="s">
        <v>128</v>
      </c>
      <c r="C240" s="752"/>
      <c r="E240" s="751" t="s">
        <v>129</v>
      </c>
      <c r="F240" s="751"/>
      <c r="G240" s="751"/>
      <c r="H240" s="751"/>
      <c r="I240" s="752"/>
    </row>
    <row r="241" spans="1:9" ht="25.5" customHeight="1">
      <c r="A241" s="35"/>
      <c r="B241" s="753" t="s">
        <v>130</v>
      </c>
      <c r="C241" s="754"/>
      <c r="E241" s="753" t="s">
        <v>116</v>
      </c>
      <c r="F241" s="753"/>
      <c r="G241" s="753"/>
      <c r="H241" s="753"/>
      <c r="I241" s="754"/>
    </row>
    <row r="242" spans="1:9" ht="25.5" customHeight="1">
      <c r="A242" s="35"/>
      <c r="B242" s="753"/>
      <c r="C242" s="754"/>
      <c r="E242" s="753"/>
      <c r="F242" s="753"/>
      <c r="G242" s="753"/>
      <c r="H242" s="753"/>
      <c r="I242" s="754"/>
    </row>
    <row r="243" spans="1:9" ht="25.5" customHeight="1">
      <c r="A243" s="35"/>
      <c r="B243" s="753"/>
      <c r="C243" s="754"/>
      <c r="E243" s="753"/>
      <c r="F243" s="753"/>
      <c r="G243" s="753"/>
      <c r="H243" s="753"/>
      <c r="I243" s="754"/>
    </row>
    <row r="244" spans="1:9" ht="25.5" customHeight="1">
      <c r="A244" s="35"/>
      <c r="B244" s="753"/>
      <c r="C244" s="754"/>
      <c r="E244" s="753"/>
      <c r="F244" s="753"/>
      <c r="G244" s="753"/>
      <c r="H244" s="753"/>
      <c r="I244" s="754"/>
    </row>
    <row r="245" spans="1:9" ht="25.5" customHeight="1">
      <c r="A245" s="35"/>
      <c r="B245" s="753"/>
      <c r="C245" s="754"/>
      <c r="E245" s="753"/>
      <c r="F245" s="753"/>
      <c r="G245" s="753"/>
      <c r="H245" s="753"/>
      <c r="I245" s="754"/>
    </row>
    <row r="246" spans="1:9">
      <c r="A246" s="35"/>
      <c r="B246" s="753"/>
      <c r="C246" s="754"/>
      <c r="E246" s="753"/>
      <c r="F246" s="753"/>
      <c r="G246" s="753"/>
      <c r="H246" s="753"/>
      <c r="I246" s="754"/>
    </row>
    <row r="247" spans="1:9">
      <c r="A247" s="35"/>
      <c r="B247" s="747"/>
      <c r="C247" s="748"/>
      <c r="D247" s="37"/>
      <c r="E247" s="747"/>
      <c r="F247" s="747"/>
      <c r="G247" s="747"/>
      <c r="H247" s="747"/>
      <c r="I247" s="748"/>
    </row>
    <row r="248" spans="1:9">
      <c r="A248" s="35"/>
      <c r="D248" s="37"/>
      <c r="E248" s="37"/>
    </row>
    <row r="249" spans="1:9">
      <c r="A249" s="35"/>
      <c r="D249" s="37"/>
      <c r="E249" s="37"/>
    </row>
    <row r="250" spans="1:9">
      <c r="A250" s="35"/>
      <c r="B250" s="749" t="s">
        <v>46</v>
      </c>
      <c r="C250" s="750"/>
      <c r="D250" s="37"/>
      <c r="E250" s="37"/>
    </row>
    <row r="251" spans="1:9">
      <c r="A251" s="35"/>
      <c r="B251" s="753" t="s">
        <v>129</v>
      </c>
      <c r="C251" s="754"/>
      <c r="D251" s="790"/>
      <c r="E251" s="790"/>
    </row>
    <row r="252" spans="1:9">
      <c r="A252" s="35"/>
      <c r="B252" s="753" t="s">
        <v>116</v>
      </c>
      <c r="C252" s="754"/>
      <c r="D252" s="790"/>
      <c r="E252" s="790"/>
    </row>
    <row r="253" spans="1:9">
      <c r="A253" s="35"/>
      <c r="B253" s="753"/>
      <c r="C253" s="754"/>
      <c r="D253" s="37"/>
      <c r="E253" s="37"/>
    </row>
    <row r="254" spans="1:9">
      <c r="A254" s="35"/>
      <c r="B254" s="753"/>
      <c r="C254" s="754"/>
      <c r="D254" s="37"/>
      <c r="E254" s="37"/>
    </row>
    <row r="255" spans="1:9">
      <c r="A255" s="35"/>
      <c r="B255" s="753"/>
      <c r="C255" s="754"/>
      <c r="D255" s="37"/>
      <c r="E255" s="37"/>
    </row>
    <row r="256" spans="1:9">
      <c r="A256" s="35"/>
      <c r="B256" s="753"/>
      <c r="C256" s="754"/>
      <c r="D256" s="37"/>
      <c r="E256" s="37"/>
    </row>
    <row r="257" spans="1:36">
      <c r="A257" s="35"/>
      <c r="B257" s="753"/>
      <c r="C257" s="754"/>
      <c r="D257" s="37"/>
      <c r="E257" s="37"/>
    </row>
    <row r="258" spans="1:36">
      <c r="A258" s="35"/>
      <c r="B258" s="747"/>
      <c r="C258" s="748"/>
      <c r="D258" s="37"/>
      <c r="E258" s="37"/>
    </row>
    <row r="259" spans="1:36">
      <c r="A259" s="35"/>
      <c r="D259" s="37"/>
      <c r="E259" s="37"/>
    </row>
    <row r="260" spans="1:36">
      <c r="A260" s="35"/>
      <c r="D260" s="37"/>
      <c r="E260" s="37"/>
    </row>
    <row r="261" spans="1:36">
      <c r="A261" s="35"/>
      <c r="D261" s="37"/>
      <c r="E261" s="37"/>
    </row>
    <row r="262" spans="1:36">
      <c r="B262" s="59" t="s">
        <v>131</v>
      </c>
      <c r="C262" s="60"/>
      <c r="D262" s="60"/>
      <c r="E262" s="60"/>
      <c r="F262" s="58"/>
      <c r="G262" s="58"/>
      <c r="H262" s="58"/>
      <c r="I262" s="58"/>
      <c r="J262" s="58"/>
      <c r="K262" s="58"/>
      <c r="L262" s="58"/>
      <c r="M262" s="58"/>
      <c r="N262" s="58"/>
    </row>
    <row r="264" spans="1:36" ht="114.75">
      <c r="B264" s="285" t="s">
        <v>132</v>
      </c>
      <c r="C264" s="285" t="s">
        <v>133</v>
      </c>
      <c r="D264" s="285" t="s">
        <v>134</v>
      </c>
      <c r="E264" s="286" t="s">
        <v>135</v>
      </c>
      <c r="F264" s="286" t="s">
        <v>136</v>
      </c>
      <c r="G264" s="286" t="s">
        <v>137</v>
      </c>
      <c r="H264" s="286" t="s">
        <v>138</v>
      </c>
      <c r="I264" s="285" t="s">
        <v>139</v>
      </c>
      <c r="J264" s="285" t="s">
        <v>140</v>
      </c>
      <c r="K264" s="287" t="s">
        <v>141</v>
      </c>
      <c r="L264" s="287" t="s">
        <v>142</v>
      </c>
      <c r="M264" s="287" t="s">
        <v>143</v>
      </c>
      <c r="N264" s="287" t="s">
        <v>144</v>
      </c>
      <c r="O264" s="287" t="s">
        <v>145</v>
      </c>
      <c r="P264" s="287" t="s">
        <v>146</v>
      </c>
      <c r="Q264" s="287" t="s">
        <v>147</v>
      </c>
      <c r="R264" s="287" t="s">
        <v>148</v>
      </c>
      <c r="S264" s="287" t="s">
        <v>149</v>
      </c>
      <c r="T264" s="285" t="s">
        <v>150</v>
      </c>
      <c r="U264" s="285" t="s">
        <v>151</v>
      </c>
      <c r="V264" s="285" t="s">
        <v>152</v>
      </c>
      <c r="W264" s="285" t="s">
        <v>153</v>
      </c>
      <c r="X264" s="288" t="s">
        <v>154</v>
      </c>
      <c r="Y264" s="285" t="s">
        <v>155</v>
      </c>
      <c r="Z264" s="285" t="s">
        <v>156</v>
      </c>
      <c r="AA264" s="285" t="s">
        <v>157</v>
      </c>
      <c r="AB264" s="285" t="s">
        <v>158</v>
      </c>
      <c r="AC264" s="285" t="s">
        <v>159</v>
      </c>
      <c r="AD264" s="285" t="s">
        <v>160</v>
      </c>
      <c r="AE264" s="285" t="s">
        <v>161</v>
      </c>
      <c r="AF264" s="285" t="s">
        <v>162</v>
      </c>
      <c r="AG264" s="285" t="s">
        <v>163</v>
      </c>
      <c r="AH264" s="285" t="s">
        <v>164</v>
      </c>
      <c r="AI264" s="285" t="s">
        <v>165</v>
      </c>
      <c r="AJ264" s="289" t="s">
        <v>166</v>
      </c>
    </row>
    <row r="265" spans="1:36">
      <c r="B265" s="280" t="s">
        <v>19</v>
      </c>
      <c r="C265" t="s">
        <v>81</v>
      </c>
      <c r="D265" t="s">
        <v>167</v>
      </c>
      <c r="E265" t="s">
        <v>168</v>
      </c>
      <c r="F265" t="s">
        <v>169</v>
      </c>
      <c r="G265" t="s">
        <v>170</v>
      </c>
      <c r="H265" t="s">
        <v>171</v>
      </c>
      <c r="O265" t="s">
        <v>172</v>
      </c>
      <c r="Y265" t="s">
        <v>173</v>
      </c>
      <c r="Z265" t="s">
        <v>174</v>
      </c>
      <c r="AA265">
        <v>1</v>
      </c>
      <c r="AI265" t="s">
        <v>175</v>
      </c>
      <c r="AJ265" s="132" t="s">
        <v>175</v>
      </c>
    </row>
    <row r="266" spans="1:36">
      <c r="B266" s="280" t="s">
        <v>22</v>
      </c>
      <c r="C266" t="s">
        <v>176</v>
      </c>
      <c r="D266" t="s">
        <v>177</v>
      </c>
      <c r="E266" t="s">
        <v>178</v>
      </c>
      <c r="F266" t="s">
        <v>179</v>
      </c>
      <c r="G266" t="s">
        <v>180</v>
      </c>
      <c r="H266" t="s">
        <v>181</v>
      </c>
      <c r="O266" t="s">
        <v>182</v>
      </c>
      <c r="Y266" t="s">
        <v>183</v>
      </c>
      <c r="Z266" t="s">
        <v>184</v>
      </c>
      <c r="AA266">
        <v>2</v>
      </c>
      <c r="AI266" t="s">
        <v>185</v>
      </c>
      <c r="AJ266" s="132" t="s">
        <v>185</v>
      </c>
    </row>
    <row r="267" spans="1:36">
      <c r="B267" s="280" t="s">
        <v>25</v>
      </c>
      <c r="C267" t="s">
        <v>186</v>
      </c>
      <c r="D267" t="s">
        <v>187</v>
      </c>
      <c r="E267" t="s">
        <v>188</v>
      </c>
      <c r="F267" t="s">
        <v>189</v>
      </c>
      <c r="G267" t="s">
        <v>190</v>
      </c>
      <c r="O267" t="s">
        <v>191</v>
      </c>
      <c r="Y267" t="s">
        <v>192</v>
      </c>
      <c r="Z267" t="s">
        <v>193</v>
      </c>
      <c r="AA267">
        <v>3</v>
      </c>
      <c r="AI267" t="s">
        <v>194</v>
      </c>
      <c r="AJ267" s="132" t="s">
        <v>194</v>
      </c>
    </row>
    <row r="268" spans="1:36">
      <c r="B268" s="280" t="s">
        <v>27</v>
      </c>
      <c r="C268" t="s">
        <v>195</v>
      </c>
      <c r="D268" t="s">
        <v>196</v>
      </c>
      <c r="E268" t="s">
        <v>197</v>
      </c>
      <c r="G268" t="s">
        <v>198</v>
      </c>
      <c r="O268" t="s">
        <v>199</v>
      </c>
      <c r="Y268" t="s">
        <v>200</v>
      </c>
      <c r="Z268" t="s">
        <v>194</v>
      </c>
      <c r="AA268">
        <v>4</v>
      </c>
      <c r="AJ268" s="132"/>
    </row>
    <row r="269" spans="1:36">
      <c r="B269" s="280" t="s">
        <v>4</v>
      </c>
      <c r="C269" t="s">
        <v>84</v>
      </c>
      <c r="D269" t="s">
        <v>201</v>
      </c>
      <c r="E269" t="s">
        <v>202</v>
      </c>
      <c r="G269" t="s">
        <v>203</v>
      </c>
      <c r="O269" t="s">
        <v>204</v>
      </c>
      <c r="Y269" t="s">
        <v>205</v>
      </c>
      <c r="AA269">
        <v>5</v>
      </c>
      <c r="AJ269" s="132"/>
    </row>
    <row r="270" spans="1:36">
      <c r="B270" s="280"/>
      <c r="C270" t="s">
        <v>46</v>
      </c>
      <c r="D270" t="s">
        <v>206</v>
      </c>
      <c r="E270" t="s">
        <v>207</v>
      </c>
      <c r="O270" t="s">
        <v>208</v>
      </c>
      <c r="Y270" s="284" t="s">
        <v>209</v>
      </c>
      <c r="AA270">
        <v>6</v>
      </c>
      <c r="AJ270" s="132"/>
    </row>
    <row r="271" spans="1:36">
      <c r="B271" s="280"/>
      <c r="C271" t="s">
        <v>89</v>
      </c>
      <c r="D271" t="s">
        <v>210</v>
      </c>
      <c r="O271" t="s">
        <v>211</v>
      </c>
      <c r="Y271" t="s">
        <v>194</v>
      </c>
      <c r="AA271">
        <v>7</v>
      </c>
      <c r="AJ271" s="132"/>
    </row>
    <row r="272" spans="1:36">
      <c r="B272" s="280"/>
      <c r="C272" t="s">
        <v>212</v>
      </c>
      <c r="D272" t="s">
        <v>213</v>
      </c>
      <c r="O272" t="s">
        <v>214</v>
      </c>
      <c r="AA272">
        <v>8</v>
      </c>
      <c r="AJ272" s="132"/>
    </row>
    <row r="273" spans="2:36">
      <c r="B273" s="280"/>
      <c r="C273" t="s">
        <v>215</v>
      </c>
      <c r="D273" t="s">
        <v>216</v>
      </c>
      <c r="AA273">
        <v>9</v>
      </c>
      <c r="AJ273" s="132"/>
    </row>
    <row r="274" spans="2:36">
      <c r="B274" s="280"/>
      <c r="C274" t="s">
        <v>4</v>
      </c>
      <c r="D274" t="s">
        <v>217</v>
      </c>
      <c r="AA274">
        <v>10</v>
      </c>
      <c r="AJ274" s="132"/>
    </row>
    <row r="275" spans="2:36">
      <c r="B275" s="280"/>
      <c r="C275" t="s">
        <v>63</v>
      </c>
      <c r="D275" t="s">
        <v>207</v>
      </c>
      <c r="AA275">
        <v>11</v>
      </c>
      <c r="AJ275" s="132"/>
    </row>
    <row r="276" spans="2:36">
      <c r="B276" s="280"/>
      <c r="C276" t="s">
        <v>64</v>
      </c>
      <c r="AA276">
        <v>12</v>
      </c>
      <c r="AJ276" s="132"/>
    </row>
    <row r="277" spans="2:36">
      <c r="B277" s="280"/>
      <c r="C277" t="s">
        <v>65</v>
      </c>
      <c r="AA277" t="s">
        <v>194</v>
      </c>
      <c r="AJ277" s="132"/>
    </row>
    <row r="278" spans="2:36">
      <c r="B278" s="280"/>
      <c r="C278" t="s">
        <v>69</v>
      </c>
      <c r="AJ278" s="132"/>
    </row>
    <row r="279" spans="2:36">
      <c r="B279" s="280"/>
      <c r="C279" t="s">
        <v>70</v>
      </c>
      <c r="AJ279" s="132"/>
    </row>
    <row r="280" spans="2:36">
      <c r="B280" s="280"/>
      <c r="C280" t="s">
        <v>71</v>
      </c>
      <c r="AJ280" s="132"/>
    </row>
    <row r="281" spans="2:36">
      <c r="B281" s="280"/>
      <c r="C281" t="s">
        <v>72</v>
      </c>
      <c r="AJ281" s="132"/>
    </row>
    <row r="282" spans="2:36">
      <c r="B282" s="280"/>
      <c r="C282" t="s">
        <v>218</v>
      </c>
      <c r="AJ282" s="132"/>
    </row>
    <row r="283" spans="2:36">
      <c r="B283" s="280"/>
      <c r="C283" t="s">
        <v>219</v>
      </c>
      <c r="AJ283" s="132"/>
    </row>
    <row r="284" spans="2:36">
      <c r="B284" s="280"/>
      <c r="C284" t="s">
        <v>220</v>
      </c>
      <c r="AJ284" s="132"/>
    </row>
    <row r="285" spans="2:36">
      <c r="B285" s="280"/>
      <c r="C285" t="s">
        <v>221</v>
      </c>
      <c r="AJ285" s="132"/>
    </row>
    <row r="286" spans="2:36">
      <c r="B286" s="280"/>
      <c r="C286" t="s">
        <v>222</v>
      </c>
      <c r="AJ286" s="132"/>
    </row>
    <row r="287" spans="2:36">
      <c r="B287" s="280"/>
      <c r="C287" t="s">
        <v>223</v>
      </c>
      <c r="AJ287" s="132"/>
    </row>
    <row r="288" spans="2:36">
      <c r="B288" s="280"/>
      <c r="C288" t="s">
        <v>224</v>
      </c>
      <c r="AJ288" s="132"/>
    </row>
    <row r="289" spans="1:36">
      <c r="B289" s="280"/>
      <c r="C289" t="s">
        <v>225</v>
      </c>
      <c r="AJ289" s="132"/>
    </row>
    <row r="290" spans="1:36">
      <c r="B290" s="280"/>
      <c r="AJ290" s="132"/>
    </row>
    <row r="291" spans="1:36">
      <c r="B291" s="280"/>
      <c r="AJ291" s="132"/>
    </row>
    <row r="292" spans="1:36">
      <c r="B292" s="280"/>
      <c r="AJ292" s="132"/>
    </row>
    <row r="293" spans="1:36">
      <c r="B293" s="280"/>
      <c r="AJ293" s="132"/>
    </row>
    <row r="294" spans="1:36">
      <c r="B294" s="280"/>
      <c r="AJ294" s="132"/>
    </row>
    <row r="295" spans="1:36">
      <c r="B295" s="281"/>
      <c r="C295" s="163"/>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c r="AA295" s="163"/>
      <c r="AB295" s="163"/>
      <c r="AC295" s="163"/>
      <c r="AD295" s="163"/>
      <c r="AE295" s="163"/>
      <c r="AF295" s="163"/>
      <c r="AG295" s="163"/>
      <c r="AH295" s="163"/>
      <c r="AI295" s="163"/>
      <c r="AJ295" s="282"/>
    </row>
    <row r="296" spans="1:36">
      <c r="B296" s="283" t="s">
        <v>226</v>
      </c>
      <c r="C296" s="283"/>
      <c r="D296" s="283"/>
      <c r="E296" s="283"/>
      <c r="F296" s="283"/>
      <c r="G296" s="283"/>
      <c r="H296" s="283"/>
      <c r="I296" s="283"/>
      <c r="J296" s="283"/>
      <c r="K296" s="283"/>
      <c r="L296" s="283"/>
      <c r="M296" s="283"/>
      <c r="N296" s="283"/>
      <c r="O296" s="283"/>
      <c r="P296" s="283"/>
      <c r="Q296" s="283"/>
      <c r="R296" s="283"/>
      <c r="S296" s="283"/>
      <c r="T296" s="283"/>
      <c r="U296" s="283"/>
      <c r="V296" s="283"/>
      <c r="W296" s="283"/>
      <c r="X296" s="283"/>
      <c r="Y296" s="283"/>
      <c r="Z296" s="283"/>
      <c r="AA296" s="283"/>
      <c r="AB296" s="283"/>
      <c r="AC296" s="283"/>
      <c r="AD296" s="283"/>
      <c r="AE296" s="283"/>
      <c r="AF296" s="283"/>
      <c r="AG296" s="283"/>
      <c r="AH296" s="283"/>
      <c r="AI296" s="283"/>
      <c r="AJ296" s="283"/>
    </row>
    <row r="299" spans="1:36">
      <c r="A299" s="35"/>
      <c r="B299" s="59" t="s">
        <v>227</v>
      </c>
      <c r="C299" s="60"/>
      <c r="D299" s="60"/>
      <c r="E299" s="60"/>
      <c r="F299" s="58"/>
      <c r="G299" s="58"/>
      <c r="H299" s="58"/>
      <c r="I299" s="58"/>
      <c r="J299" s="58"/>
      <c r="K299" s="58"/>
      <c r="L299" s="58"/>
      <c r="M299" s="58"/>
      <c r="N299" s="58"/>
      <c r="O299" s="58"/>
      <c r="P299" s="58"/>
      <c r="Q299" s="58"/>
      <c r="R299" s="58"/>
      <c r="S299" s="58"/>
    </row>
    <row r="300" spans="1:36">
      <c r="B300" s="83"/>
      <c r="C300" s="84"/>
      <c r="D300" s="84"/>
      <c r="E300" s="84"/>
      <c r="F300" s="85"/>
      <c r="G300" s="85"/>
      <c r="H300" s="85"/>
      <c r="I300" s="85"/>
      <c r="J300" s="85"/>
      <c r="K300" s="85"/>
      <c r="L300" s="311"/>
      <c r="M300" s="85"/>
      <c r="N300" s="85"/>
    </row>
    <row r="301" spans="1:36">
      <c r="A301" s="81" t="s">
        <v>228</v>
      </c>
      <c r="B301" s="81" t="s">
        <v>229</v>
      </c>
      <c r="C301" s="37"/>
      <c r="D301" s="37"/>
      <c r="E301" s="37"/>
      <c r="K301" s="81" t="s">
        <v>230</v>
      </c>
      <c r="L301" s="81" t="s">
        <v>231</v>
      </c>
      <c r="M301" s="85"/>
      <c r="N301" s="85"/>
    </row>
    <row r="302" spans="1:36">
      <c r="B302" s="312"/>
      <c r="C302" s="84"/>
      <c r="D302" s="84"/>
      <c r="E302" s="84"/>
      <c r="F302" s="85"/>
      <c r="G302" s="85"/>
      <c r="H302" s="85"/>
      <c r="I302" s="85"/>
      <c r="J302" s="85"/>
      <c r="K302" s="85"/>
      <c r="L302" s="312"/>
      <c r="M302" s="85"/>
      <c r="N302" s="85"/>
    </row>
    <row r="303" spans="1:36">
      <c r="A303" s="48" t="s">
        <v>6</v>
      </c>
      <c r="B303" s="305" t="s">
        <v>3</v>
      </c>
      <c r="C303" s="148">
        <f>RIIO_2_start_date</f>
        <v>2022</v>
      </c>
      <c r="D303" s="149">
        <f>C303+1</f>
        <v>2023</v>
      </c>
      <c r="E303" s="149">
        <f>D303+1</f>
        <v>2024</v>
      </c>
      <c r="F303" s="149">
        <f t="shared" ref="F303" si="24">E303+1</f>
        <v>2025</v>
      </c>
      <c r="G303" s="149">
        <f t="shared" ref="G303" si="25">F303+1</f>
        <v>2026</v>
      </c>
      <c r="H303" s="149">
        <f t="shared" ref="H303" si="26">G303+1</f>
        <v>2027</v>
      </c>
      <c r="I303" s="149">
        <f t="shared" ref="I303" si="27">H303+1</f>
        <v>2028</v>
      </c>
      <c r="K303" s="48" t="s">
        <v>6</v>
      </c>
      <c r="L303" s="305" t="s">
        <v>3</v>
      </c>
      <c r="M303" s="148">
        <f>RIIO_2_start_date</f>
        <v>2022</v>
      </c>
      <c r="N303" s="149">
        <f t="shared" ref="N303" si="28">M303+1</f>
        <v>2023</v>
      </c>
      <c r="O303" s="149">
        <f t="shared" ref="O303" si="29">N303+1</f>
        <v>2024</v>
      </c>
      <c r="P303" s="149">
        <f t="shared" ref="P303" si="30">O303+1</f>
        <v>2025</v>
      </c>
      <c r="Q303" s="149">
        <f t="shared" ref="Q303" si="31">P303+1</f>
        <v>2026</v>
      </c>
      <c r="R303" s="149">
        <f t="shared" ref="R303" si="32">Q303+1</f>
        <v>2027</v>
      </c>
      <c r="S303" s="149">
        <f t="shared" ref="S303" si="33">R303+1</f>
        <v>2028</v>
      </c>
    </row>
    <row r="304" spans="1:36">
      <c r="A304" s="12" t="s">
        <v>19</v>
      </c>
      <c r="B304" s="304" t="s">
        <v>63</v>
      </c>
      <c r="C304" s="307"/>
      <c r="D304" s="307"/>
      <c r="E304" s="309">
        <v>1.4366690915062783</v>
      </c>
      <c r="F304" s="309">
        <v>1.3797759532786635</v>
      </c>
      <c r="G304" s="309">
        <v>1.2994160329983981</v>
      </c>
      <c r="H304" s="309">
        <v>1.2615281568238033</v>
      </c>
      <c r="I304" s="309">
        <v>1.2611798067947679</v>
      </c>
      <c r="K304" s="12" t="s">
        <v>19</v>
      </c>
      <c r="L304" s="304" t="s">
        <v>63</v>
      </c>
      <c r="M304" s="307"/>
      <c r="N304" s="307"/>
      <c r="O304" s="309">
        <f>((E304*H$27)/H$19)*(1-H$19)</f>
        <v>5.3579287632681227</v>
      </c>
      <c r="P304" s="309">
        <f t="shared" ref="P304:S304" si="34">((F304*I$27)/I$19)*(1-I$19)</f>
        <v>5.1816159208011126</v>
      </c>
      <c r="Q304" s="309">
        <f t="shared" si="34"/>
        <v>4.8920767178178988</v>
      </c>
      <c r="R304" s="309">
        <f t="shared" si="34"/>
        <v>4.844424122458558</v>
      </c>
      <c r="S304" s="309">
        <f t="shared" si="34"/>
        <v>4.9399481435755881</v>
      </c>
    </row>
    <row r="305" spans="1:19">
      <c r="A305" s="12" t="s">
        <v>19</v>
      </c>
      <c r="B305" s="304" t="s">
        <v>64</v>
      </c>
      <c r="C305" s="307"/>
      <c r="D305" s="307"/>
      <c r="E305" s="309">
        <v>1.368578491828039</v>
      </c>
      <c r="F305" s="309">
        <v>1.4008338175049104</v>
      </c>
      <c r="G305" s="309">
        <v>1.2944169556388054</v>
      </c>
      <c r="H305" s="309">
        <v>1.1615288221705597</v>
      </c>
      <c r="I305" s="309">
        <v>1.0171476978779488</v>
      </c>
      <c r="K305" s="12" t="s">
        <v>19</v>
      </c>
      <c r="L305" s="304" t="s">
        <v>64</v>
      </c>
      <c r="M305" s="307"/>
      <c r="N305" s="307"/>
      <c r="O305" s="309">
        <f t="shared" ref="O305:O317" si="35">((E305*H$27)/H$19)*(1-H$19)</f>
        <v>5.1039909673754638</v>
      </c>
      <c r="P305" s="309">
        <f t="shared" ref="P305:P317" si="36">((F305*I$27)/I$19)*(1-I$19)</f>
        <v>5.2606967050933093</v>
      </c>
      <c r="Q305" s="309">
        <f t="shared" ref="Q305:Q317" si="37">((G305*J$27)/J$19)*(1-J$19)</f>
        <v>4.8732560558125204</v>
      </c>
      <c r="R305" s="309">
        <f t="shared" ref="R305:R317" si="38">((H305*K$27)/K$19)*(1-K$19)</f>
        <v>4.4604143114974857</v>
      </c>
      <c r="S305" s="309">
        <f t="shared" ref="S305:S317" si="39">((I305*L$27)/L$19)*(1-L$19)</f>
        <v>3.9840923988818835</v>
      </c>
    </row>
    <row r="306" spans="1:19">
      <c r="A306" s="12" t="s">
        <v>19</v>
      </c>
      <c r="B306" s="304" t="s">
        <v>65</v>
      </c>
      <c r="C306" s="307"/>
      <c r="D306" s="307"/>
      <c r="E306" s="309">
        <v>1.8517886877112844</v>
      </c>
      <c r="F306" s="309">
        <v>1.8549995484009258</v>
      </c>
      <c r="G306" s="309">
        <v>1.5955311955633462</v>
      </c>
      <c r="H306" s="309">
        <v>1.4243694121247401</v>
      </c>
      <c r="I306" s="309">
        <v>1.2090605175362352</v>
      </c>
      <c r="K306" s="12" t="s">
        <v>19</v>
      </c>
      <c r="L306" s="304" t="s">
        <v>65</v>
      </c>
      <c r="M306" s="307"/>
      <c r="N306" s="307"/>
      <c r="O306" s="309">
        <f t="shared" si="35"/>
        <v>6.9060801349741183</v>
      </c>
      <c r="P306" s="309">
        <f t="shared" si="36"/>
        <v>6.9662724373714795</v>
      </c>
      <c r="Q306" s="309">
        <f t="shared" si="37"/>
        <v>6.0068991117159971</v>
      </c>
      <c r="R306" s="309">
        <f t="shared" si="38"/>
        <v>5.4697546797229037</v>
      </c>
      <c r="S306" s="309">
        <f t="shared" si="39"/>
        <v>4.7358007374483782</v>
      </c>
    </row>
    <row r="307" spans="1:19">
      <c r="A307" s="12" t="s">
        <v>19</v>
      </c>
      <c r="B307" s="304" t="s">
        <v>66</v>
      </c>
      <c r="C307" s="307"/>
      <c r="D307" s="307"/>
      <c r="E307" s="309">
        <v>1.9633660656588319</v>
      </c>
      <c r="F307" s="309">
        <v>2.1083575561921606</v>
      </c>
      <c r="G307" s="309">
        <v>2.5083164621053555</v>
      </c>
      <c r="H307" s="309">
        <v>2.4606563837546958</v>
      </c>
      <c r="I307" s="309">
        <v>2.3736687667861531</v>
      </c>
      <c r="K307" s="12" t="s">
        <v>19</v>
      </c>
      <c r="L307" s="304" t="s">
        <v>66</v>
      </c>
      <c r="M307" s="307"/>
      <c r="N307" s="307"/>
      <c r="O307" s="309">
        <f t="shared" si="35"/>
        <v>7.3221979773983712</v>
      </c>
      <c r="P307" s="309">
        <f t="shared" si="36"/>
        <v>7.917734074106046</v>
      </c>
      <c r="Q307" s="309">
        <f t="shared" si="37"/>
        <v>9.4433778355573814</v>
      </c>
      <c r="R307" s="309">
        <f t="shared" si="38"/>
        <v>9.4492247977686752</v>
      </c>
      <c r="S307" s="309">
        <f t="shared" si="39"/>
        <v>9.2974852235774463</v>
      </c>
    </row>
    <row r="308" spans="1:19">
      <c r="A308" s="12" t="s">
        <v>19</v>
      </c>
      <c r="B308" s="304" t="s">
        <v>67</v>
      </c>
      <c r="C308" s="307"/>
      <c r="D308" s="307"/>
      <c r="E308" s="309">
        <v>1.3074390315981681</v>
      </c>
      <c r="F308" s="309">
        <v>1.3001216768501926</v>
      </c>
      <c r="G308" s="309">
        <v>1.5417405565806881</v>
      </c>
      <c r="H308" s="309">
        <v>1.5753974334268079</v>
      </c>
      <c r="I308" s="309">
        <v>1.5749617313468214</v>
      </c>
      <c r="K308" s="12" t="s">
        <v>19</v>
      </c>
      <c r="L308" s="304" t="s">
        <v>67</v>
      </c>
      <c r="M308" s="307"/>
      <c r="N308" s="307"/>
      <c r="O308" s="309">
        <f t="shared" si="35"/>
        <v>4.8759768237755203</v>
      </c>
      <c r="P308" s="309">
        <f t="shared" si="36"/>
        <v>4.8824819447951553</v>
      </c>
      <c r="Q308" s="309">
        <f t="shared" si="37"/>
        <v>5.804386655411764</v>
      </c>
      <c r="R308" s="309">
        <f t="shared" si="38"/>
        <v>6.0497209576100417</v>
      </c>
      <c r="S308" s="309">
        <f t="shared" si="39"/>
        <v>6.1690087638989635</v>
      </c>
    </row>
    <row r="309" spans="1:19">
      <c r="A309" s="12" t="s">
        <v>19</v>
      </c>
      <c r="B309" s="304" t="s">
        <v>68</v>
      </c>
      <c r="C309" s="307"/>
      <c r="D309" s="307"/>
      <c r="E309" s="309">
        <v>2.0191738224902593</v>
      </c>
      <c r="F309" s="309">
        <v>1.5784133044437496</v>
      </c>
      <c r="G309" s="309">
        <v>1.7691618048462701</v>
      </c>
      <c r="H309" s="309">
        <v>1.741401016001106</v>
      </c>
      <c r="I309" s="309">
        <v>1.6345343485877493</v>
      </c>
      <c r="K309" s="12" t="s">
        <v>19</v>
      </c>
      <c r="L309" s="304" t="s">
        <v>68</v>
      </c>
      <c r="M309" s="307"/>
      <c r="N309" s="307"/>
      <c r="O309" s="309">
        <f t="shared" si="35"/>
        <v>7.5303280104786232</v>
      </c>
      <c r="P309" s="309">
        <f t="shared" si="36"/>
        <v>5.9275793932163321</v>
      </c>
      <c r="Q309" s="309">
        <f t="shared" si="37"/>
        <v>6.6605883379551933</v>
      </c>
      <c r="R309" s="309">
        <f t="shared" si="38"/>
        <v>6.6871952426566903</v>
      </c>
      <c r="S309" s="309">
        <f t="shared" si="39"/>
        <v>6.4023503051778192</v>
      </c>
    </row>
    <row r="310" spans="1:19">
      <c r="A310" s="12" t="s">
        <v>19</v>
      </c>
      <c r="B310" s="304" t="s">
        <v>69</v>
      </c>
      <c r="C310" s="307"/>
      <c r="D310" s="307"/>
      <c r="E310" s="309">
        <v>1.5418188657920666</v>
      </c>
      <c r="F310" s="309">
        <v>1.5421689490890813</v>
      </c>
      <c r="G310" s="309">
        <v>1.1986919632990878</v>
      </c>
      <c r="H310" s="309">
        <v>1.2051150219812068</v>
      </c>
      <c r="I310" s="309">
        <v>1.2030871425295599</v>
      </c>
      <c r="K310" s="12" t="s">
        <v>19</v>
      </c>
      <c r="L310" s="304" t="s">
        <v>69</v>
      </c>
      <c r="M310" s="307"/>
      <c r="N310" s="307"/>
      <c r="O310" s="309">
        <f t="shared" si="35"/>
        <v>5.7500754332478419</v>
      </c>
      <c r="P310" s="309">
        <f t="shared" si="36"/>
        <v>5.7914672017415816</v>
      </c>
      <c r="Q310" s="309">
        <f t="shared" si="37"/>
        <v>4.5128680088389554</v>
      </c>
      <c r="R310" s="309">
        <f t="shared" si="38"/>
        <v>4.6277907086288961</v>
      </c>
      <c r="S310" s="309">
        <f t="shared" si="39"/>
        <v>4.712403468782858</v>
      </c>
    </row>
    <row r="311" spans="1:19">
      <c r="A311" s="12" t="s">
        <v>19</v>
      </c>
      <c r="B311" s="304" t="s">
        <v>70</v>
      </c>
      <c r="C311" s="307"/>
      <c r="D311" s="307"/>
      <c r="E311" s="309">
        <v>1.3630193716187557</v>
      </c>
      <c r="F311" s="309">
        <v>1.3768904698776971</v>
      </c>
      <c r="G311" s="309">
        <v>1.3602523162213354</v>
      </c>
      <c r="H311" s="309">
        <v>1.3398436564847218</v>
      </c>
      <c r="I311" s="309">
        <v>1.3157905788825448</v>
      </c>
      <c r="K311" s="12" t="s">
        <v>19</v>
      </c>
      <c r="L311" s="304" t="s">
        <v>70</v>
      </c>
      <c r="M311" s="307"/>
      <c r="N311" s="307"/>
      <c r="O311" s="309">
        <f t="shared" si="35"/>
        <v>5.0832587262185562</v>
      </c>
      <c r="P311" s="309">
        <f t="shared" si="36"/>
        <v>5.1707797653411438</v>
      </c>
      <c r="Q311" s="309">
        <f t="shared" si="37"/>
        <v>5.1211148066174967</v>
      </c>
      <c r="R311" s="309">
        <f t="shared" si="38"/>
        <v>5.1451653256315115</v>
      </c>
      <c r="S311" s="309">
        <f t="shared" si="39"/>
        <v>5.1538545039064463</v>
      </c>
    </row>
    <row r="312" spans="1:19">
      <c r="A312" s="12" t="s">
        <v>19</v>
      </c>
      <c r="B312" s="304" t="s">
        <v>71</v>
      </c>
      <c r="C312" s="307"/>
      <c r="D312" s="307"/>
      <c r="E312" s="309">
        <v>0.88691188538891907</v>
      </c>
      <c r="F312" s="309">
        <v>0.97956684032180519</v>
      </c>
      <c r="G312" s="309">
        <v>0.7570821246417444</v>
      </c>
      <c r="H312" s="309">
        <v>0.71183271144208338</v>
      </c>
      <c r="I312" s="309">
        <v>0.66972194319581801</v>
      </c>
      <c r="K312" s="12" t="s">
        <v>19</v>
      </c>
      <c r="L312" s="304" t="s">
        <v>71</v>
      </c>
      <c r="M312" s="307"/>
      <c r="N312" s="307"/>
      <c r="O312" s="309">
        <f t="shared" si="35"/>
        <v>3.3076584784234457</v>
      </c>
      <c r="P312" s="309">
        <f t="shared" si="36"/>
        <v>3.6786690790190892</v>
      </c>
      <c r="Q312" s="309">
        <f t="shared" si="37"/>
        <v>2.8502833129507437</v>
      </c>
      <c r="R312" s="309">
        <f t="shared" si="38"/>
        <v>2.7335256369919843</v>
      </c>
      <c r="S312" s="309">
        <f t="shared" si="39"/>
        <v>2.6232513811096823</v>
      </c>
    </row>
    <row r="313" spans="1:19">
      <c r="A313" s="12" t="s">
        <v>19</v>
      </c>
      <c r="B313" s="304" t="s">
        <v>72</v>
      </c>
      <c r="C313" s="307"/>
      <c r="D313" s="307"/>
      <c r="E313" s="309">
        <v>2.5538076548384012</v>
      </c>
      <c r="F313" s="309">
        <v>2.7027627943750261</v>
      </c>
      <c r="G313" s="309">
        <v>2.4755882180772915</v>
      </c>
      <c r="H313" s="309">
        <v>2.1518380701030111</v>
      </c>
      <c r="I313" s="309">
        <v>1.7678169461084547</v>
      </c>
      <c r="K313" s="12" t="s">
        <v>19</v>
      </c>
      <c r="L313" s="304" t="s">
        <v>72</v>
      </c>
      <c r="M313" s="307"/>
      <c r="N313" s="307"/>
      <c r="O313" s="309">
        <f t="shared" si="35"/>
        <v>9.5241970267258189</v>
      </c>
      <c r="P313" s="309">
        <f t="shared" si="36"/>
        <v>10.149965791333162</v>
      </c>
      <c r="Q313" s="309">
        <f t="shared" si="37"/>
        <v>9.3201616549356121</v>
      </c>
      <c r="R313" s="309">
        <f t="shared" si="38"/>
        <v>8.2633242849510715</v>
      </c>
      <c r="S313" s="309">
        <f t="shared" si="39"/>
        <v>6.9244083944733177</v>
      </c>
    </row>
    <row r="314" spans="1:19">
      <c r="A314" s="12" t="s">
        <v>19</v>
      </c>
      <c r="B314" s="304" t="s">
        <v>73</v>
      </c>
      <c r="C314" s="307"/>
      <c r="D314" s="307"/>
      <c r="E314" s="309">
        <v>2.1594507853983487</v>
      </c>
      <c r="F314" s="309">
        <v>2.108783385973247</v>
      </c>
      <c r="G314" s="309">
        <v>1.9571099436141921</v>
      </c>
      <c r="H314" s="309">
        <v>1.6739883971269975</v>
      </c>
      <c r="I314" s="309">
        <v>1.4057277322201749</v>
      </c>
      <c r="K314" s="12" t="s">
        <v>19</v>
      </c>
      <c r="L314" s="304" t="s">
        <v>73</v>
      </c>
      <c r="M314" s="307"/>
      <c r="N314" s="307"/>
      <c r="O314" s="309">
        <f t="shared" si="35"/>
        <v>8.0534783857686882</v>
      </c>
      <c r="P314" s="309">
        <f t="shared" si="36"/>
        <v>7.9193332369034453</v>
      </c>
      <c r="Q314" s="309">
        <f t="shared" si="37"/>
        <v>7.3681805874536987</v>
      </c>
      <c r="R314" s="309">
        <f t="shared" si="38"/>
        <v>6.4283224499525877</v>
      </c>
      <c r="S314" s="309">
        <f t="shared" si="39"/>
        <v>5.5061316901371935</v>
      </c>
    </row>
    <row r="315" spans="1:19">
      <c r="A315" s="12" t="s">
        <v>19</v>
      </c>
      <c r="B315" s="304" t="s">
        <v>74</v>
      </c>
      <c r="C315" s="307"/>
      <c r="D315" s="307"/>
      <c r="E315" s="309">
        <v>2.3320557909214585</v>
      </c>
      <c r="F315" s="309">
        <v>2.3253369118631113</v>
      </c>
      <c r="G315" s="309">
        <v>2.1691122806593768</v>
      </c>
      <c r="H315" s="309">
        <v>1.831433598356611</v>
      </c>
      <c r="I315" s="309">
        <v>1.6964022421334342</v>
      </c>
      <c r="K315" s="12" t="s">
        <v>19</v>
      </c>
      <c r="L315" s="304" t="s">
        <v>74</v>
      </c>
      <c r="M315" s="307"/>
      <c r="N315" s="307"/>
      <c r="O315" s="309">
        <f t="shared" si="35"/>
        <v>8.6971933019201231</v>
      </c>
      <c r="P315" s="309">
        <f t="shared" si="36"/>
        <v>8.7325791807758382</v>
      </c>
      <c r="Q315" s="309">
        <f t="shared" si="37"/>
        <v>8.1663327349137784</v>
      </c>
      <c r="R315" s="309">
        <f t="shared" si="38"/>
        <v>7.0329314923083599</v>
      </c>
      <c r="S315" s="309">
        <f t="shared" si="39"/>
        <v>6.6446822741971054</v>
      </c>
    </row>
    <row r="316" spans="1:19">
      <c r="A316" s="12" t="s">
        <v>19</v>
      </c>
      <c r="B316" s="304" t="s">
        <v>75</v>
      </c>
      <c r="C316" s="307"/>
      <c r="D316" s="307"/>
      <c r="E316" s="309">
        <v>0.94083766340920505</v>
      </c>
      <c r="F316" s="309">
        <v>0.89327362005723643</v>
      </c>
      <c r="G316" s="309">
        <v>0.85016201774887534</v>
      </c>
      <c r="H316" s="309">
        <v>0.70172058348408528</v>
      </c>
      <c r="I316" s="309">
        <v>0.70273163357435342</v>
      </c>
      <c r="K316" s="12" t="s">
        <v>19</v>
      </c>
      <c r="L316" s="304" t="s">
        <v>75</v>
      </c>
      <c r="M316" s="307"/>
      <c r="N316" s="307"/>
      <c r="O316" s="309">
        <f t="shared" si="35"/>
        <v>3.5087698400060718</v>
      </c>
      <c r="P316" s="309">
        <f t="shared" si="36"/>
        <v>3.3546031878013278</v>
      </c>
      <c r="Q316" s="309">
        <f t="shared" si="37"/>
        <v>3.2007130186052493</v>
      </c>
      <c r="R316" s="309">
        <f t="shared" si="38"/>
        <v>2.694693815170067</v>
      </c>
      <c r="S316" s="309">
        <f t="shared" si="39"/>
        <v>2.7525478999937549</v>
      </c>
    </row>
    <row r="317" spans="1:19">
      <c r="A317" s="12" t="s">
        <v>19</v>
      </c>
      <c r="B317" s="304" t="s">
        <v>76</v>
      </c>
      <c r="C317" s="307"/>
      <c r="D317" s="307"/>
      <c r="E317" s="309">
        <v>1.3538563803454693</v>
      </c>
      <c r="F317" s="309">
        <v>1.399085447927888</v>
      </c>
      <c r="G317" s="309">
        <v>1.3245039630700681</v>
      </c>
      <c r="H317" s="309">
        <v>1.0767587664923539</v>
      </c>
      <c r="I317" s="309">
        <v>1.0135822369351568</v>
      </c>
      <c r="K317" s="12" t="s">
        <v>19</v>
      </c>
      <c r="L317" s="304" t="s">
        <v>76</v>
      </c>
      <c r="M317" s="307"/>
      <c r="N317" s="307"/>
      <c r="O317" s="309">
        <f t="shared" si="35"/>
        <v>5.0490861705542294</v>
      </c>
      <c r="P317" s="309">
        <f t="shared" si="36"/>
        <v>5.2541308712604931</v>
      </c>
      <c r="Q317" s="309">
        <f t="shared" si="37"/>
        <v>4.9865284372711809</v>
      </c>
      <c r="R317" s="309">
        <f t="shared" si="38"/>
        <v>4.1348868150493718</v>
      </c>
      <c r="S317" s="309">
        <f t="shared" si="39"/>
        <v>3.9701267517390706</v>
      </c>
    </row>
    <row r="318" spans="1:19">
      <c r="A318" s="12" t="s">
        <v>25</v>
      </c>
      <c r="B318" s="304" t="s">
        <v>77</v>
      </c>
      <c r="C318" s="309">
        <v>1.8560134718227432</v>
      </c>
      <c r="D318" s="309">
        <v>1.8152215314521964</v>
      </c>
      <c r="E318" s="309">
        <v>1.7979279925217375</v>
      </c>
      <c r="F318" s="309">
        <v>1.7736992270475671</v>
      </c>
      <c r="G318" s="309">
        <v>1.7484964755788579</v>
      </c>
      <c r="H318" s="307"/>
      <c r="I318" s="307"/>
      <c r="K318" s="12" t="s">
        <v>25</v>
      </c>
      <c r="L318" s="304" t="s">
        <v>77</v>
      </c>
      <c r="M318" s="309">
        <f>((C318*F$27)/F$19)*(1-F$19)</f>
        <v>8.5833263439657195</v>
      </c>
      <c r="N318" s="309">
        <f>((D318*G$27)/G$19)*(1-G$19)</f>
        <v>9.1312396620225407</v>
      </c>
      <c r="O318" s="309">
        <f t="shared" ref="O318:O332" si="40">((E318*H$27)/H$19)*(1-H$19)</f>
        <v>6.7052114939823877</v>
      </c>
      <c r="P318" s="309">
        <f t="shared" ref="P318:P332" si="41">((F318*I$27)/I$19)*(1-I$19)</f>
        <v>6.6609568979248159</v>
      </c>
      <c r="Q318" s="309">
        <f t="shared" ref="Q318:Q332" si="42">((G318*J$27)/J$19)*(1-J$19)</f>
        <v>6.5827869459392225</v>
      </c>
      <c r="R318" s="307"/>
      <c r="S318" s="307"/>
    </row>
    <row r="319" spans="1:19">
      <c r="A319" s="12" t="s">
        <v>25</v>
      </c>
      <c r="B319" s="304" t="s">
        <v>78</v>
      </c>
      <c r="C319" s="309">
        <v>1.338141135548405</v>
      </c>
      <c r="D319" s="309">
        <v>1.3118504623849501</v>
      </c>
      <c r="E319" s="309">
        <v>1.305225167423345</v>
      </c>
      <c r="F319" s="309">
        <v>1.2886796623765773</v>
      </c>
      <c r="G319" s="309">
        <v>1.2709115989265294</v>
      </c>
      <c r="H319" s="307"/>
      <c r="I319" s="307"/>
      <c r="K319" s="12" t="s">
        <v>25</v>
      </c>
      <c r="L319" s="304" t="s">
        <v>78</v>
      </c>
      <c r="M319" s="309">
        <f t="shared" ref="M319:M332" si="43">((C319*F$27)/F$19)*(1-F$19)</f>
        <v>6.1883721401100686</v>
      </c>
      <c r="N319" s="309">
        <f t="shared" ref="N319:N332" si="44">((D319*G$27)/G$19)*(1-G$19)</f>
        <v>6.5990959038420405</v>
      </c>
      <c r="O319" s="309">
        <f t="shared" si="40"/>
        <v>4.8677204155250884</v>
      </c>
      <c r="P319" s="309">
        <f t="shared" si="41"/>
        <v>4.8395125596412534</v>
      </c>
      <c r="Q319" s="309">
        <f t="shared" si="42"/>
        <v>4.7847624514579614</v>
      </c>
      <c r="R319" s="307"/>
      <c r="S319" s="307"/>
    </row>
    <row r="320" spans="1:19">
      <c r="A320" s="12" t="s">
        <v>25</v>
      </c>
      <c r="B320" s="304" t="s">
        <v>79</v>
      </c>
      <c r="C320" s="309">
        <v>0.99104421987024149</v>
      </c>
      <c r="D320" s="309">
        <v>0.97030415837322381</v>
      </c>
      <c r="E320" s="309">
        <v>0.96243789501775268</v>
      </c>
      <c r="F320" s="309">
        <v>0.94766848511264923</v>
      </c>
      <c r="G320" s="309">
        <v>0.93824870565692475</v>
      </c>
      <c r="H320" s="307"/>
      <c r="I320" s="307"/>
      <c r="K320" s="12" t="s">
        <v>25</v>
      </c>
      <c r="L320" s="304" t="s">
        <v>79</v>
      </c>
      <c r="M320" s="309">
        <f t="shared" si="43"/>
        <v>4.5831865391005095</v>
      </c>
      <c r="N320" s="309">
        <f t="shared" si="44"/>
        <v>4.8809909212980873</v>
      </c>
      <c r="O320" s="309">
        <f t="shared" si="40"/>
        <v>3.5893259700940039</v>
      </c>
      <c r="P320" s="309">
        <f t="shared" si="41"/>
        <v>3.558877873203119</v>
      </c>
      <c r="Q320" s="309">
        <f t="shared" si="42"/>
        <v>3.5323441699235056</v>
      </c>
      <c r="R320" s="307"/>
      <c r="S320" s="307"/>
    </row>
    <row r="321" spans="1:19">
      <c r="A321" s="12" t="s">
        <v>25</v>
      </c>
      <c r="B321" s="304" t="s">
        <v>80</v>
      </c>
      <c r="C321" s="309">
        <v>1.2910496821028619</v>
      </c>
      <c r="D321" s="309">
        <v>1.2750295337136959</v>
      </c>
      <c r="E321" s="309">
        <v>1.2614754781555608</v>
      </c>
      <c r="F321" s="309">
        <v>1.2360763844788194</v>
      </c>
      <c r="G321" s="309">
        <v>1.2156373101435318</v>
      </c>
      <c r="H321" s="307"/>
      <c r="I321" s="307"/>
      <c r="K321" s="12" t="s">
        <v>25</v>
      </c>
      <c r="L321" s="304" t="s">
        <v>80</v>
      </c>
      <c r="M321" s="309">
        <f t="shared" si="43"/>
        <v>5.9705928410526052</v>
      </c>
      <c r="N321" s="309">
        <f t="shared" si="44"/>
        <v>6.4138729332845683</v>
      </c>
      <c r="O321" s="309">
        <f t="shared" si="40"/>
        <v>4.7045598659610004</v>
      </c>
      <c r="P321" s="309">
        <f t="shared" si="41"/>
        <v>4.6419660075407778</v>
      </c>
      <c r="Q321" s="309">
        <f t="shared" si="42"/>
        <v>4.5766643101526832</v>
      </c>
      <c r="R321" s="307"/>
      <c r="S321" s="307"/>
    </row>
    <row r="322" spans="1:19">
      <c r="A322" s="12" t="s">
        <v>25</v>
      </c>
      <c r="B322" s="304" t="s">
        <v>81</v>
      </c>
      <c r="C322" s="309">
        <v>1.2693796122665177</v>
      </c>
      <c r="D322" s="309">
        <v>1.2456515312513812</v>
      </c>
      <c r="E322" s="309">
        <v>1.2761225755818488</v>
      </c>
      <c r="F322" s="309">
        <v>1.2778726893812531</v>
      </c>
      <c r="G322" s="309">
        <v>1.2727838897081032</v>
      </c>
      <c r="H322" s="307"/>
      <c r="I322" s="307"/>
      <c r="K322" s="12" t="s">
        <v>25</v>
      </c>
      <c r="L322" s="304" t="s">
        <v>81</v>
      </c>
      <c r="M322" s="309">
        <f t="shared" si="43"/>
        <v>5.8703773608712018</v>
      </c>
      <c r="N322" s="309">
        <f t="shared" si="44"/>
        <v>6.2660906507219138</v>
      </c>
      <c r="O322" s="309">
        <f t="shared" si="40"/>
        <v>4.7591849045747407</v>
      </c>
      <c r="P322" s="309">
        <f t="shared" si="41"/>
        <v>4.7989280116969475</v>
      </c>
      <c r="Q322" s="309">
        <f t="shared" si="42"/>
        <v>4.7918113025640903</v>
      </c>
      <c r="R322" s="307"/>
      <c r="S322" s="307"/>
    </row>
    <row r="323" spans="1:19">
      <c r="A323" s="12" t="s">
        <v>25</v>
      </c>
      <c r="B323" s="304" t="s">
        <v>82</v>
      </c>
      <c r="C323" s="309">
        <v>0.9684370522563619</v>
      </c>
      <c r="D323" s="309">
        <v>0.97408615926807074</v>
      </c>
      <c r="E323" s="309">
        <v>0.97438656582868766</v>
      </c>
      <c r="F323" s="309">
        <v>0.96522259273076072</v>
      </c>
      <c r="G323" s="309">
        <v>0.95735847603512469</v>
      </c>
      <c r="H323" s="307"/>
      <c r="I323" s="307"/>
      <c r="K323" s="12" t="s">
        <v>25</v>
      </c>
      <c r="L323" s="304" t="s">
        <v>82</v>
      </c>
      <c r="M323" s="309">
        <f t="shared" si="43"/>
        <v>4.4786373532844728</v>
      </c>
      <c r="N323" s="309">
        <f t="shared" si="44"/>
        <v>4.9000157929043668</v>
      </c>
      <c r="O323" s="309">
        <f t="shared" si="40"/>
        <v>3.6338874682143594</v>
      </c>
      <c r="P323" s="309">
        <f t="shared" si="41"/>
        <v>3.6248006364556047</v>
      </c>
      <c r="Q323" s="309">
        <f t="shared" si="42"/>
        <v>3.604289151650657</v>
      </c>
      <c r="R323" s="307"/>
      <c r="S323" s="307"/>
    </row>
    <row r="324" spans="1:19">
      <c r="A324" s="12" t="s">
        <v>25</v>
      </c>
      <c r="B324" s="304" t="s">
        <v>83</v>
      </c>
      <c r="C324" s="309">
        <v>2.0413918945479947</v>
      </c>
      <c r="D324" s="309">
        <v>2.002834526545016</v>
      </c>
      <c r="E324" s="309">
        <v>2.0176858680119603</v>
      </c>
      <c r="F324" s="309">
        <v>2.010800066369304</v>
      </c>
      <c r="G324" s="309">
        <v>2.012461933717149</v>
      </c>
      <c r="H324" s="307"/>
      <c r="I324" s="307"/>
      <c r="K324" s="12" t="s">
        <v>25</v>
      </c>
      <c r="L324" s="304" t="s">
        <v>83</v>
      </c>
      <c r="M324" s="309">
        <f t="shared" si="43"/>
        <v>9.4406280411445778</v>
      </c>
      <c r="N324" s="309">
        <f t="shared" si="44"/>
        <v>10.075002829337917</v>
      </c>
      <c r="O324" s="309">
        <f t="shared" si="40"/>
        <v>7.5247788174564825</v>
      </c>
      <c r="P324" s="309">
        <f t="shared" si="41"/>
        <v>7.551366301672914</v>
      </c>
      <c r="Q324" s="309">
        <f t="shared" si="42"/>
        <v>7.5765712607954185</v>
      </c>
      <c r="R324" s="307"/>
      <c r="S324" s="307"/>
    </row>
    <row r="325" spans="1:19">
      <c r="A325" s="12" t="s">
        <v>25</v>
      </c>
      <c r="B325" s="304" t="s">
        <v>84</v>
      </c>
      <c r="C325" s="309">
        <v>1.2655629156032961</v>
      </c>
      <c r="D325" s="309">
        <v>1.2655629156032961</v>
      </c>
      <c r="E325" s="309">
        <v>1.253112719644278</v>
      </c>
      <c r="F325" s="309">
        <v>1.2591017686030721</v>
      </c>
      <c r="G325" s="309">
        <v>1.2643657265074015</v>
      </c>
      <c r="H325" s="308"/>
      <c r="I325" s="308"/>
      <c r="K325" s="12" t="s">
        <v>25</v>
      </c>
      <c r="L325" s="304" t="s">
        <v>84</v>
      </c>
      <c r="M325" s="309">
        <f t="shared" si="43"/>
        <v>5.8527266522348134</v>
      </c>
      <c r="N325" s="309">
        <f t="shared" si="44"/>
        <v>6.3662523221045397</v>
      </c>
      <c r="O325" s="309">
        <f t="shared" si="40"/>
        <v>4.6733717067441205</v>
      </c>
      <c r="P325" s="309">
        <f t="shared" si="41"/>
        <v>4.7284356236239429</v>
      </c>
      <c r="Q325" s="309">
        <f t="shared" si="42"/>
        <v>4.7601183734673818</v>
      </c>
      <c r="R325" s="308"/>
      <c r="S325" s="308"/>
    </row>
    <row r="326" spans="1:19">
      <c r="A326" s="12" t="s">
        <v>27</v>
      </c>
      <c r="B326" s="304" t="s">
        <v>85</v>
      </c>
      <c r="C326" s="309">
        <v>2.4</v>
      </c>
      <c r="D326" s="309">
        <v>2.5</v>
      </c>
      <c r="E326" s="309">
        <v>2.5</v>
      </c>
      <c r="F326" s="309">
        <v>2.2999999999999998</v>
      </c>
      <c r="G326" s="309">
        <v>2.2999999999999998</v>
      </c>
      <c r="H326" s="307"/>
      <c r="I326" s="307"/>
      <c r="K326" s="12" t="s">
        <v>27</v>
      </c>
      <c r="L326" s="304" t="s">
        <v>85</v>
      </c>
      <c r="M326" s="309">
        <f t="shared" si="43"/>
        <v>11.099048330337286</v>
      </c>
      <c r="N326" s="309">
        <f t="shared" si="44"/>
        <v>12.575930132777584</v>
      </c>
      <c r="O326" s="309">
        <f t="shared" si="40"/>
        <v>9.3235261949754076</v>
      </c>
      <c r="P326" s="309">
        <f t="shared" si="41"/>
        <v>8.6374288445333001</v>
      </c>
      <c r="Q326" s="309">
        <f t="shared" si="42"/>
        <v>8.6591023700221186</v>
      </c>
      <c r="R326" s="307"/>
      <c r="S326" s="307"/>
    </row>
    <row r="327" spans="1:19">
      <c r="A327" s="12" t="s">
        <v>27</v>
      </c>
      <c r="B327" s="304" t="s">
        <v>86</v>
      </c>
      <c r="C327" s="309">
        <v>0.4</v>
      </c>
      <c r="D327" s="309">
        <v>0.3</v>
      </c>
      <c r="E327" s="309">
        <v>0.4</v>
      </c>
      <c r="F327" s="309">
        <v>0.3</v>
      </c>
      <c r="G327" s="309">
        <v>0.3</v>
      </c>
      <c r="H327" s="307"/>
      <c r="I327" s="307"/>
      <c r="K327" s="12" t="s">
        <v>27</v>
      </c>
      <c r="L327" s="304" t="s">
        <v>86</v>
      </c>
      <c r="M327" s="309">
        <f t="shared" si="43"/>
        <v>1.8498413883895477</v>
      </c>
      <c r="N327" s="309">
        <f t="shared" si="44"/>
        <v>1.5091116159333102</v>
      </c>
      <c r="O327" s="309">
        <f t="shared" si="40"/>
        <v>1.4917641911960653</v>
      </c>
      <c r="P327" s="309">
        <f t="shared" si="41"/>
        <v>1.1266211536347783</v>
      </c>
      <c r="Q327" s="309">
        <f t="shared" si="42"/>
        <v>1.1294481352202763</v>
      </c>
      <c r="R327" s="307"/>
      <c r="S327" s="307"/>
    </row>
    <row r="328" spans="1:19">
      <c r="A328" s="12" t="s">
        <v>27</v>
      </c>
      <c r="B328" s="304" t="s">
        <v>87</v>
      </c>
      <c r="C328" s="309">
        <f>C326+C327</f>
        <v>2.8</v>
      </c>
      <c r="D328" s="309">
        <f t="shared" ref="D328:G328" si="45">D326+D327</f>
        <v>2.8</v>
      </c>
      <c r="E328" s="309">
        <f t="shared" si="45"/>
        <v>2.9</v>
      </c>
      <c r="F328" s="309">
        <f t="shared" si="45"/>
        <v>2.5999999999999996</v>
      </c>
      <c r="G328" s="309">
        <f t="shared" si="45"/>
        <v>2.5999999999999996</v>
      </c>
      <c r="H328" s="307"/>
      <c r="I328" s="307"/>
      <c r="K328" s="12" t="s">
        <v>27</v>
      </c>
      <c r="L328" s="304" t="s">
        <v>87</v>
      </c>
      <c r="M328" s="309">
        <f t="shared" si="43"/>
        <v>12.948889718726832</v>
      </c>
      <c r="N328" s="309">
        <f t="shared" si="44"/>
        <v>14.085041748710895</v>
      </c>
      <c r="O328" s="309">
        <f t="shared" si="40"/>
        <v>10.815290386171473</v>
      </c>
      <c r="P328" s="309">
        <f t="shared" si="41"/>
        <v>9.7640499981680779</v>
      </c>
      <c r="Q328" s="309">
        <f t="shared" si="42"/>
        <v>9.7885505052423945</v>
      </c>
      <c r="R328" s="307"/>
      <c r="S328" s="307"/>
    </row>
    <row r="329" spans="1:19">
      <c r="A329" s="12" t="s">
        <v>22</v>
      </c>
      <c r="B329" s="304" t="s">
        <v>88</v>
      </c>
      <c r="C329" s="309">
        <v>5.794647515116063</v>
      </c>
      <c r="D329" s="309">
        <v>5.6654995528096048</v>
      </c>
      <c r="E329" s="309">
        <v>5.4459801653220365</v>
      </c>
      <c r="F329" s="309">
        <v>5.2315625946540782</v>
      </c>
      <c r="G329" s="309">
        <v>5.0709512798558656</v>
      </c>
      <c r="H329" s="307"/>
      <c r="I329" s="307"/>
      <c r="K329" s="12" t="s">
        <v>22</v>
      </c>
      <c r="L329" s="304" t="s">
        <v>88</v>
      </c>
      <c r="M329" s="309">
        <f t="shared" si="43"/>
        <v>26.797947011475848</v>
      </c>
      <c r="N329" s="309">
        <f t="shared" si="44"/>
        <v>28.499570617366494</v>
      </c>
      <c r="O329" s="309">
        <f t="shared" si="40"/>
        <v>20.310295491478605</v>
      </c>
      <c r="P329" s="309">
        <f t="shared" si="41"/>
        <v>19.64663028567244</v>
      </c>
      <c r="Q329" s="309">
        <f t="shared" si="42"/>
        <v>19.09125488942027</v>
      </c>
      <c r="R329" s="307"/>
      <c r="S329" s="307"/>
    </row>
    <row r="330" spans="1:19">
      <c r="A330" s="12" t="s">
        <v>4</v>
      </c>
      <c r="B330" s="304" t="s">
        <v>4</v>
      </c>
      <c r="C330" s="309">
        <v>0.8</v>
      </c>
      <c r="D330" s="309">
        <v>0.8</v>
      </c>
      <c r="E330" s="309">
        <v>0.8</v>
      </c>
      <c r="F330" s="309">
        <v>0.9</v>
      </c>
      <c r="G330" s="309">
        <v>0.9</v>
      </c>
      <c r="H330" s="307"/>
      <c r="I330" s="307"/>
      <c r="K330" s="12" t="s">
        <v>4</v>
      </c>
      <c r="L330" s="304" t="s">
        <v>4</v>
      </c>
      <c r="M330" s="309">
        <f t="shared" si="43"/>
        <v>3.6996827767790954</v>
      </c>
      <c r="N330" s="309">
        <f t="shared" si="44"/>
        <v>4.0242976424888273</v>
      </c>
      <c r="O330" s="309">
        <f t="shared" si="40"/>
        <v>2.9835283823921306</v>
      </c>
      <c r="P330" s="309">
        <f t="shared" si="41"/>
        <v>3.379863460904335</v>
      </c>
      <c r="Q330" s="309">
        <f t="shared" si="42"/>
        <v>3.388344405660829</v>
      </c>
      <c r="R330" s="307"/>
      <c r="S330" s="307"/>
    </row>
    <row r="331" spans="1:19">
      <c r="A331" s="12" t="s">
        <v>22</v>
      </c>
      <c r="B331" s="304" t="s">
        <v>89</v>
      </c>
      <c r="C331" s="309">
        <v>1.067077173491312</v>
      </c>
      <c r="D331" s="309">
        <v>1.1377699704587949</v>
      </c>
      <c r="E331" s="309">
        <v>1.1288688837653649</v>
      </c>
      <c r="F331" s="309">
        <v>1.0874595680858687</v>
      </c>
      <c r="G331" s="309">
        <v>1.0132559350168759</v>
      </c>
      <c r="H331" s="307"/>
      <c r="I331" s="307"/>
      <c r="K331" s="12" t="s">
        <v>22</v>
      </c>
      <c r="L331" s="304" t="s">
        <v>89</v>
      </c>
      <c r="M331" s="309">
        <f>((C331*F$27)/F$19)*(1-F$19)</f>
        <v>4.9348088003249071</v>
      </c>
      <c r="N331" s="309">
        <f t="shared" si="44"/>
        <v>5.7234062622648887</v>
      </c>
      <c r="O331" s="309">
        <f t="shared" si="40"/>
        <v>4.2100154433916117</v>
      </c>
      <c r="P331" s="309">
        <f t="shared" si="41"/>
        <v>4.0838498437602642</v>
      </c>
      <c r="Q331" s="309">
        <f t="shared" si="42"/>
        <v>3.8147334210189596</v>
      </c>
      <c r="R331" s="307"/>
      <c r="S331" s="307"/>
    </row>
    <row r="332" spans="1:19">
      <c r="A332" s="12" t="s">
        <v>22</v>
      </c>
      <c r="B332" s="304" t="s">
        <v>46</v>
      </c>
      <c r="C332" s="309">
        <v>1.4458842789006556</v>
      </c>
      <c r="D332" s="309">
        <v>1.7460048691359407</v>
      </c>
      <c r="E332" s="309">
        <v>1.7400275177290305</v>
      </c>
      <c r="F332" s="309">
        <v>1.7353254561791309</v>
      </c>
      <c r="G332" s="309">
        <v>1.6416771715292762</v>
      </c>
      <c r="H332" s="307"/>
      <c r="I332" s="307"/>
      <c r="K332" s="12" t="s">
        <v>22</v>
      </c>
      <c r="L332" s="304" t="s">
        <v>46</v>
      </c>
      <c r="M332" s="309">
        <f t="shared" si="43"/>
        <v>6.6866414548305206</v>
      </c>
      <c r="N332" s="309">
        <f t="shared" si="44"/>
        <v>8.7830540982972245</v>
      </c>
      <c r="O332" s="309">
        <f t="shared" si="40"/>
        <v>6.4892768566098606</v>
      </c>
      <c r="P332" s="309">
        <f t="shared" si="41"/>
        <v>6.5168478912411008</v>
      </c>
      <c r="Q332" s="309">
        <f t="shared" si="42"/>
        <v>6.1806307333914621</v>
      </c>
      <c r="R332" s="307"/>
      <c r="S332" s="307"/>
    </row>
    <row r="333" spans="1:19">
      <c r="K333" s="85"/>
      <c r="L333" s="85"/>
      <c r="M333" s="85"/>
    </row>
    <row r="334" spans="1:19">
      <c r="K334" s="85"/>
      <c r="L334" s="85"/>
      <c r="M334" s="322"/>
    </row>
    <row r="335" spans="1:19">
      <c r="K335" s="85"/>
      <c r="M335" s="85"/>
    </row>
    <row r="336" spans="1:19">
      <c r="K336" s="81" t="s">
        <v>232</v>
      </c>
      <c r="L336" s="81" t="s">
        <v>233</v>
      </c>
      <c r="M336" s="85"/>
      <c r="N336" s="85"/>
    </row>
    <row r="337" spans="10:19">
      <c r="J337" s="310"/>
      <c r="K337" s="85"/>
      <c r="L337" s="312"/>
      <c r="M337" s="85"/>
      <c r="N337" s="85"/>
    </row>
    <row r="338" spans="10:19">
      <c r="J338" s="310"/>
      <c r="K338" s="48" t="s">
        <v>6</v>
      </c>
      <c r="L338" s="305" t="s">
        <v>3</v>
      </c>
      <c r="M338" s="148">
        <f>RIIO_2_start_date</f>
        <v>2022</v>
      </c>
      <c r="N338" s="149">
        <f t="shared" ref="N338:S338" si="46">M338+1</f>
        <v>2023</v>
      </c>
      <c r="O338" s="149">
        <f t="shared" si="46"/>
        <v>2024</v>
      </c>
      <c r="P338" s="149">
        <f t="shared" si="46"/>
        <v>2025</v>
      </c>
      <c r="Q338" s="149">
        <f t="shared" si="46"/>
        <v>2026</v>
      </c>
      <c r="R338" s="149">
        <f t="shared" si="46"/>
        <v>2027</v>
      </c>
      <c r="S338" s="149">
        <f t="shared" si="46"/>
        <v>2028</v>
      </c>
    </row>
    <row r="339" spans="10:19">
      <c r="J339" s="310"/>
      <c r="K339" s="12" t="s">
        <v>19</v>
      </c>
      <c r="L339" s="304" t="s">
        <v>63</v>
      </c>
      <c r="M339" s="307"/>
      <c r="N339" s="307"/>
      <c r="O339" s="309">
        <f t="shared" ref="O339:O352" si="47">E304*H$27</f>
        <v>1.7859762544227076</v>
      </c>
      <c r="P339" s="309">
        <f t="shared" ref="P339:P352" si="48">F304*I$27</f>
        <v>1.7272053069337043</v>
      </c>
      <c r="Q339" s="309">
        <f t="shared" ref="Q339:Q352" si="49">G304*J$27</f>
        <v>1.6306922392726331</v>
      </c>
      <c r="R339" s="309">
        <f t="shared" ref="R339:R352" si="50">H304*K$27</f>
        <v>1.6148080408195193</v>
      </c>
      <c r="S339" s="309">
        <f t="shared" ref="S339:S352" si="51">I304*L$27</f>
        <v>1.6466493811918628</v>
      </c>
    </row>
    <row r="340" spans="10:19">
      <c r="J340" s="310"/>
      <c r="K340" s="12" t="s">
        <v>19</v>
      </c>
      <c r="L340" s="304" t="s">
        <v>64</v>
      </c>
      <c r="M340" s="307"/>
      <c r="N340" s="307"/>
      <c r="O340" s="309">
        <f t="shared" si="47"/>
        <v>1.7013303224584879</v>
      </c>
      <c r="P340" s="309">
        <f t="shared" si="48"/>
        <v>1.7535655683644364</v>
      </c>
      <c r="Q340" s="309">
        <f t="shared" si="49"/>
        <v>1.62441868527084</v>
      </c>
      <c r="R340" s="309">
        <f t="shared" si="50"/>
        <v>1.4868047704991618</v>
      </c>
      <c r="S340" s="309">
        <f t="shared" si="51"/>
        <v>1.3280307996272944</v>
      </c>
    </row>
    <row r="341" spans="10:19">
      <c r="J341" s="310"/>
      <c r="K341" s="12" t="s">
        <v>19</v>
      </c>
      <c r="L341" s="304" t="s">
        <v>65</v>
      </c>
      <c r="M341" s="307"/>
      <c r="N341" s="307"/>
      <c r="O341" s="309">
        <f t="shared" si="47"/>
        <v>2.3020267116580393</v>
      </c>
      <c r="P341" s="309">
        <f t="shared" si="48"/>
        <v>2.32209081245716</v>
      </c>
      <c r="Q341" s="309">
        <f t="shared" si="49"/>
        <v>2.0022997039053325</v>
      </c>
      <c r="R341" s="309">
        <f t="shared" si="50"/>
        <v>1.8232515599076344</v>
      </c>
      <c r="S341" s="309">
        <f t="shared" si="51"/>
        <v>1.5786002458161261</v>
      </c>
    </row>
    <row r="342" spans="10:19">
      <c r="J342" s="310"/>
      <c r="K342" s="12" t="s">
        <v>19</v>
      </c>
      <c r="L342" s="304" t="s">
        <v>66</v>
      </c>
      <c r="M342" s="307"/>
      <c r="N342" s="307"/>
      <c r="O342" s="309">
        <f t="shared" si="47"/>
        <v>2.4407326591327902</v>
      </c>
      <c r="P342" s="309">
        <f t="shared" si="48"/>
        <v>2.639244691368682</v>
      </c>
      <c r="Q342" s="309">
        <f t="shared" si="49"/>
        <v>3.1477926118524606</v>
      </c>
      <c r="R342" s="309">
        <f t="shared" si="50"/>
        <v>3.1497415992562248</v>
      </c>
      <c r="S342" s="309">
        <f t="shared" si="51"/>
        <v>3.0991617411924821</v>
      </c>
    </row>
    <row r="343" spans="10:19">
      <c r="J343" s="310"/>
      <c r="K343" s="12" t="s">
        <v>19</v>
      </c>
      <c r="L343" s="304" t="s">
        <v>67</v>
      </c>
      <c r="M343" s="307"/>
      <c r="N343" s="307"/>
      <c r="O343" s="309">
        <f t="shared" si="47"/>
        <v>1.6253256079251734</v>
      </c>
      <c r="P343" s="309">
        <f t="shared" si="48"/>
        <v>1.6274939815983851</v>
      </c>
      <c r="Q343" s="309">
        <f t="shared" si="49"/>
        <v>1.9347955518039213</v>
      </c>
      <c r="R343" s="309">
        <f t="shared" si="50"/>
        <v>2.0165736525366804</v>
      </c>
      <c r="S343" s="309">
        <f t="shared" si="51"/>
        <v>2.056336254632988</v>
      </c>
    </row>
    <row r="344" spans="10:19">
      <c r="J344" s="310"/>
      <c r="K344" s="12" t="s">
        <v>19</v>
      </c>
      <c r="L344" s="304" t="s">
        <v>68</v>
      </c>
      <c r="M344" s="307"/>
      <c r="N344" s="307"/>
      <c r="O344" s="309">
        <f t="shared" si="47"/>
        <v>2.5101093368262077</v>
      </c>
      <c r="P344" s="309">
        <f t="shared" si="48"/>
        <v>1.9758597977387775</v>
      </c>
      <c r="Q344" s="309">
        <f t="shared" si="49"/>
        <v>2.2201961126517311</v>
      </c>
      <c r="R344" s="309">
        <f t="shared" si="50"/>
        <v>2.2290650808855634</v>
      </c>
      <c r="S344" s="309">
        <f t="shared" si="51"/>
        <v>2.1341167683926066</v>
      </c>
    </row>
    <row r="345" spans="10:19">
      <c r="J345" s="310"/>
      <c r="K345" s="12" t="s">
        <v>19</v>
      </c>
      <c r="L345" s="304" t="s">
        <v>69</v>
      </c>
      <c r="M345" s="307"/>
      <c r="N345" s="307"/>
      <c r="O345" s="309">
        <f t="shared" si="47"/>
        <v>1.9166918110826141</v>
      </c>
      <c r="P345" s="309">
        <f t="shared" si="48"/>
        <v>1.9304890672471939</v>
      </c>
      <c r="Q345" s="309">
        <f t="shared" si="49"/>
        <v>1.5042893362796519</v>
      </c>
      <c r="R345" s="309">
        <f t="shared" si="50"/>
        <v>1.5425969028762987</v>
      </c>
      <c r="S345" s="309">
        <f t="shared" si="51"/>
        <v>1.5708011562609527</v>
      </c>
    </row>
    <row r="346" spans="10:19">
      <c r="J346" s="310"/>
      <c r="K346" s="12" t="s">
        <v>19</v>
      </c>
      <c r="L346" s="304" t="s">
        <v>70</v>
      </c>
      <c r="M346" s="307"/>
      <c r="N346" s="307"/>
      <c r="O346" s="309">
        <f t="shared" si="47"/>
        <v>1.6944195754061853</v>
      </c>
      <c r="P346" s="309">
        <f t="shared" si="48"/>
        <v>1.7235932551137145</v>
      </c>
      <c r="Q346" s="309">
        <f t="shared" si="49"/>
        <v>1.7070382688724988</v>
      </c>
      <c r="R346" s="309">
        <f t="shared" si="50"/>
        <v>1.7150551085438372</v>
      </c>
      <c r="S346" s="309">
        <f t="shared" si="51"/>
        <v>1.7179515013021487</v>
      </c>
    </row>
    <row r="347" spans="10:19">
      <c r="J347" s="310"/>
      <c r="K347" s="12" t="s">
        <v>19</v>
      </c>
      <c r="L347" s="304" t="s">
        <v>71</v>
      </c>
      <c r="M347" s="307"/>
      <c r="N347" s="307"/>
      <c r="O347" s="309">
        <f t="shared" si="47"/>
        <v>1.1025528261411486</v>
      </c>
      <c r="P347" s="309">
        <f t="shared" si="48"/>
        <v>1.2262230263396965</v>
      </c>
      <c r="Q347" s="309">
        <f t="shared" si="49"/>
        <v>0.95009443765024781</v>
      </c>
      <c r="R347" s="309">
        <f t="shared" si="50"/>
        <v>0.91117521233066145</v>
      </c>
      <c r="S347" s="309">
        <f t="shared" si="51"/>
        <v>0.87441712703656072</v>
      </c>
    </row>
    <row r="348" spans="10:19">
      <c r="J348" s="310"/>
      <c r="K348" s="12" t="s">
        <v>19</v>
      </c>
      <c r="L348" s="304" t="s">
        <v>72</v>
      </c>
      <c r="M348" s="307"/>
      <c r="N348" s="307"/>
      <c r="O348" s="309">
        <f t="shared" si="47"/>
        <v>3.1747323422419398</v>
      </c>
      <c r="P348" s="309">
        <f t="shared" si="48"/>
        <v>3.3833219304443878</v>
      </c>
      <c r="Q348" s="309">
        <f t="shared" si="49"/>
        <v>3.1067205516452039</v>
      </c>
      <c r="R348" s="309">
        <f t="shared" si="50"/>
        <v>2.7544414283170235</v>
      </c>
      <c r="S348" s="309">
        <f t="shared" si="51"/>
        <v>2.3081361314911057</v>
      </c>
    </row>
    <row r="349" spans="10:19">
      <c r="J349" s="310"/>
      <c r="K349" s="12" t="s">
        <v>19</v>
      </c>
      <c r="L349" s="304" t="s">
        <v>73</v>
      </c>
      <c r="M349" s="307"/>
      <c r="N349" s="307"/>
      <c r="O349" s="309">
        <f t="shared" si="47"/>
        <v>2.6844927952562294</v>
      </c>
      <c r="P349" s="309">
        <f t="shared" si="48"/>
        <v>2.6397777456344818</v>
      </c>
      <c r="Q349" s="309">
        <f t="shared" si="49"/>
        <v>2.4560601958178996</v>
      </c>
      <c r="R349" s="309">
        <f t="shared" si="50"/>
        <v>2.1427741499841959</v>
      </c>
      <c r="S349" s="309">
        <f t="shared" si="51"/>
        <v>1.8353772300457312</v>
      </c>
    </row>
    <row r="350" spans="10:19">
      <c r="J350" s="310"/>
      <c r="K350" s="12" t="s">
        <v>19</v>
      </c>
      <c r="L350" s="304" t="s">
        <v>74</v>
      </c>
      <c r="M350" s="307"/>
      <c r="N350" s="307"/>
      <c r="O350" s="309">
        <f t="shared" si="47"/>
        <v>2.8990644339733747</v>
      </c>
      <c r="P350" s="309">
        <f t="shared" si="48"/>
        <v>2.9108597269252794</v>
      </c>
      <c r="Q350" s="309">
        <f t="shared" si="49"/>
        <v>2.7221109116379263</v>
      </c>
      <c r="R350" s="309">
        <f t="shared" si="50"/>
        <v>2.34431049743612</v>
      </c>
      <c r="S350" s="309">
        <f t="shared" si="51"/>
        <v>2.2148940913990351</v>
      </c>
    </row>
    <row r="351" spans="10:19">
      <c r="J351" s="310"/>
      <c r="K351" s="12" t="s">
        <v>19</v>
      </c>
      <c r="L351" s="304" t="s">
        <v>75</v>
      </c>
      <c r="M351" s="307"/>
      <c r="N351" s="307"/>
      <c r="O351" s="309">
        <f t="shared" si="47"/>
        <v>1.1695899466686905</v>
      </c>
      <c r="P351" s="309">
        <f t="shared" si="48"/>
        <v>1.1182010626004426</v>
      </c>
      <c r="Q351" s="309">
        <f t="shared" si="49"/>
        <v>1.066904339535083</v>
      </c>
      <c r="R351" s="309">
        <f t="shared" si="50"/>
        <v>0.89823127172335571</v>
      </c>
      <c r="S351" s="309">
        <f t="shared" si="51"/>
        <v>0.9175159666645849</v>
      </c>
    </row>
    <row r="352" spans="10:19">
      <c r="J352" s="310"/>
      <c r="K352" s="12" t="s">
        <v>19</v>
      </c>
      <c r="L352" s="304" t="s">
        <v>76</v>
      </c>
      <c r="M352" s="307"/>
      <c r="N352" s="307"/>
      <c r="O352" s="309">
        <f t="shared" si="47"/>
        <v>1.6830287235180763</v>
      </c>
      <c r="P352" s="309">
        <f t="shared" si="48"/>
        <v>1.7513769570868309</v>
      </c>
      <c r="Q352" s="309">
        <f t="shared" si="49"/>
        <v>1.6621761457570603</v>
      </c>
      <c r="R352" s="309">
        <f t="shared" si="50"/>
        <v>1.3782956050164574</v>
      </c>
      <c r="S352" s="309">
        <f t="shared" si="51"/>
        <v>1.3233755839130235</v>
      </c>
    </row>
    <row r="353" spans="9:19">
      <c r="J353" s="310"/>
      <c r="K353" s="12" t="s">
        <v>25</v>
      </c>
      <c r="L353" s="304" t="s">
        <v>77</v>
      </c>
      <c r="M353" s="309">
        <f t="shared" ref="M353:M367" si="52">C318*F$27</f>
        <v>2.0133728461154154</v>
      </c>
      <c r="N353" s="309">
        <f t="shared" ref="N353:N367" si="53">D318*G$27</f>
        <v>2.1418957231904723</v>
      </c>
      <c r="O353" s="309">
        <f t="shared" ref="O353:O367" si="54">E318*H$27</f>
        <v>2.2350704979941294</v>
      </c>
      <c r="P353" s="309">
        <f t="shared" ref="P353:P367" si="55">F318*I$27</f>
        <v>2.2203189659749385</v>
      </c>
      <c r="Q353" s="309">
        <f t="shared" ref="Q353:Q367" si="56">G318*J$27</f>
        <v>2.194262315313074</v>
      </c>
      <c r="R353" s="307"/>
      <c r="S353" s="307"/>
    </row>
    <row r="354" spans="9:19">
      <c r="J354" s="310"/>
      <c r="K354" s="12" t="s">
        <v>25</v>
      </c>
      <c r="L354" s="304" t="s">
        <v>78</v>
      </c>
      <c r="M354" s="309">
        <f t="shared" si="52"/>
        <v>1.45159346496409</v>
      </c>
      <c r="N354" s="309">
        <f t="shared" si="53"/>
        <v>1.5479360762098613</v>
      </c>
      <c r="O354" s="309">
        <f t="shared" si="54"/>
        <v>1.622573471841696</v>
      </c>
      <c r="P354" s="309">
        <f t="shared" si="55"/>
        <v>1.6131708532137512</v>
      </c>
      <c r="Q354" s="309">
        <f t="shared" si="56"/>
        <v>1.5949208171526537</v>
      </c>
      <c r="R354" s="307"/>
      <c r="S354" s="307"/>
    </row>
    <row r="355" spans="9:19">
      <c r="J355" s="310"/>
      <c r="K355" s="12" t="s">
        <v>25</v>
      </c>
      <c r="L355" s="304" t="s">
        <v>79</v>
      </c>
      <c r="M355" s="309">
        <f t="shared" si="52"/>
        <v>1.0750684474433292</v>
      </c>
      <c r="N355" s="309">
        <f t="shared" si="53"/>
        <v>1.1449237963538723</v>
      </c>
      <c r="O355" s="309">
        <f t="shared" si="54"/>
        <v>1.1964419900313346</v>
      </c>
      <c r="P355" s="309">
        <f t="shared" si="55"/>
        <v>1.1862926244010397</v>
      </c>
      <c r="Q355" s="309">
        <f t="shared" si="56"/>
        <v>1.1774480566411685</v>
      </c>
      <c r="R355" s="307"/>
      <c r="S355" s="307"/>
    </row>
    <row r="356" spans="9:19">
      <c r="J356" s="310"/>
      <c r="K356" s="12" t="s">
        <v>25</v>
      </c>
      <c r="L356" s="304" t="s">
        <v>80</v>
      </c>
      <c r="M356" s="309">
        <f t="shared" si="52"/>
        <v>1.4005094318518456</v>
      </c>
      <c r="N356" s="309">
        <f t="shared" si="53"/>
        <v>1.5044887127457629</v>
      </c>
      <c r="O356" s="309">
        <f t="shared" si="54"/>
        <v>1.568186621987</v>
      </c>
      <c r="P356" s="309">
        <f t="shared" si="55"/>
        <v>1.5473220025135925</v>
      </c>
      <c r="Q356" s="309">
        <f t="shared" si="56"/>
        <v>1.5255547700508942</v>
      </c>
      <c r="R356" s="307"/>
      <c r="S356" s="307"/>
    </row>
    <row r="357" spans="9:19">
      <c r="J357" s="310"/>
      <c r="K357" s="12" t="s">
        <v>25</v>
      </c>
      <c r="L357" s="304" t="s">
        <v>81</v>
      </c>
      <c r="M357" s="309">
        <f t="shared" si="52"/>
        <v>1.3770020969944794</v>
      </c>
      <c r="N357" s="309">
        <f t="shared" si="53"/>
        <v>1.4698237328853871</v>
      </c>
      <c r="O357" s="309">
        <f t="shared" si="54"/>
        <v>1.5863949681915803</v>
      </c>
      <c r="P357" s="309">
        <f t="shared" si="55"/>
        <v>1.599642670565649</v>
      </c>
      <c r="Q357" s="309">
        <f t="shared" si="56"/>
        <v>1.5972704341880299</v>
      </c>
      <c r="R357" s="307"/>
      <c r="S357" s="307"/>
    </row>
    <row r="358" spans="9:19">
      <c r="J358" s="310"/>
      <c r="K358" s="12" t="s">
        <v>25</v>
      </c>
      <c r="L358" s="304" t="s">
        <v>82</v>
      </c>
      <c r="M358" s="309">
        <f t="shared" si="52"/>
        <v>1.0505445643506788</v>
      </c>
      <c r="N358" s="309">
        <f t="shared" si="53"/>
        <v>1.1493864205578144</v>
      </c>
      <c r="O358" s="309">
        <f t="shared" si="54"/>
        <v>1.2112958227381199</v>
      </c>
      <c r="P358" s="309">
        <f t="shared" si="55"/>
        <v>1.2082668788185349</v>
      </c>
      <c r="Q358" s="309">
        <f t="shared" si="56"/>
        <v>1.2014297172168857</v>
      </c>
      <c r="R358" s="307"/>
      <c r="S358" s="307"/>
    </row>
    <row r="359" spans="9:19">
      <c r="J359" s="310"/>
      <c r="K359" s="12" t="s">
        <v>25</v>
      </c>
      <c r="L359" s="304" t="s">
        <v>83</v>
      </c>
      <c r="M359" s="309">
        <f t="shared" si="52"/>
        <v>2.2144683059474937</v>
      </c>
      <c r="N359" s="309">
        <f t="shared" si="53"/>
        <v>2.3632722686101286</v>
      </c>
      <c r="O359" s="309">
        <f t="shared" si="54"/>
        <v>2.5082596058188273</v>
      </c>
      <c r="P359" s="309">
        <f t="shared" si="55"/>
        <v>2.5171221005576379</v>
      </c>
      <c r="Q359" s="309">
        <f t="shared" si="56"/>
        <v>2.5255237535984727</v>
      </c>
      <c r="R359" s="307"/>
      <c r="S359" s="307"/>
    </row>
    <row r="360" spans="9:19">
      <c r="J360" s="310"/>
      <c r="K360" s="12" t="s">
        <v>25</v>
      </c>
      <c r="L360" s="304" t="s">
        <v>84</v>
      </c>
      <c r="M360" s="309">
        <f t="shared" si="52"/>
        <v>1.3728618073143388</v>
      </c>
      <c r="N360" s="309">
        <f t="shared" si="53"/>
        <v>1.493318445925756</v>
      </c>
      <c r="O360" s="309">
        <f t="shared" si="54"/>
        <v>1.5577905689147067</v>
      </c>
      <c r="P360" s="309">
        <f t="shared" si="55"/>
        <v>1.5761452078746476</v>
      </c>
      <c r="Q360" s="309">
        <f t="shared" si="56"/>
        <v>1.5867061244891274</v>
      </c>
      <c r="R360" s="308"/>
      <c r="S360" s="308"/>
    </row>
    <row r="361" spans="9:19">
      <c r="J361" s="310"/>
      <c r="K361" s="12" t="s">
        <v>27</v>
      </c>
      <c r="L361" s="304" t="s">
        <v>85</v>
      </c>
      <c r="M361" s="309">
        <f t="shared" si="52"/>
        <v>2.6034804725482519</v>
      </c>
      <c r="N361" s="309">
        <f t="shared" si="53"/>
        <v>2.9499095373181987</v>
      </c>
      <c r="O361" s="309">
        <f t="shared" si="54"/>
        <v>3.1078420649918028</v>
      </c>
      <c r="P361" s="309">
        <f t="shared" si="55"/>
        <v>2.8791429481777664</v>
      </c>
      <c r="Q361" s="309">
        <f t="shared" si="56"/>
        <v>2.8863674566740394</v>
      </c>
      <c r="R361" s="307"/>
      <c r="S361" s="307"/>
    </row>
    <row r="362" spans="9:19">
      <c r="J362" s="310"/>
      <c r="K362" s="12" t="s">
        <v>27</v>
      </c>
      <c r="L362" s="304" t="s">
        <v>86</v>
      </c>
      <c r="M362" s="309">
        <f t="shared" si="52"/>
        <v>0.43391341209137535</v>
      </c>
      <c r="N362" s="309">
        <f t="shared" si="53"/>
        <v>0.35398914447818386</v>
      </c>
      <c r="O362" s="309">
        <f t="shared" si="54"/>
        <v>0.49725473039868845</v>
      </c>
      <c r="P362" s="309">
        <f t="shared" si="55"/>
        <v>0.37554038454492611</v>
      </c>
      <c r="Q362" s="309">
        <f t="shared" si="56"/>
        <v>0.37648271174009212</v>
      </c>
      <c r="R362" s="307"/>
      <c r="S362" s="307"/>
    </row>
    <row r="363" spans="9:19">
      <c r="J363" s="310"/>
      <c r="K363" s="12" t="s">
        <v>27</v>
      </c>
      <c r="L363" s="304" t="s">
        <v>87</v>
      </c>
      <c r="M363" s="309">
        <f t="shared" si="52"/>
        <v>3.0373938846396271</v>
      </c>
      <c r="N363" s="309">
        <f t="shared" si="53"/>
        <v>3.3038986817963827</v>
      </c>
      <c r="O363" s="309">
        <f t="shared" si="54"/>
        <v>3.6050967953904909</v>
      </c>
      <c r="P363" s="309">
        <f t="shared" si="55"/>
        <v>3.2546833327226925</v>
      </c>
      <c r="Q363" s="309">
        <f t="shared" si="56"/>
        <v>3.2628501684141313</v>
      </c>
      <c r="R363" s="307"/>
      <c r="S363" s="307"/>
    </row>
    <row r="364" spans="9:19">
      <c r="K364" s="12" t="s">
        <v>22</v>
      </c>
      <c r="L364" s="304" t="s">
        <v>88</v>
      </c>
      <c r="M364" s="309">
        <f t="shared" si="52"/>
        <v>6.2859381878770506</v>
      </c>
      <c r="N364" s="309">
        <f t="shared" si="53"/>
        <v>6.6850844658020172</v>
      </c>
      <c r="O364" s="309">
        <f t="shared" si="54"/>
        <v>6.7700984971595348</v>
      </c>
      <c r="P364" s="309">
        <f t="shared" si="55"/>
        <v>6.5488767618908135</v>
      </c>
      <c r="Q364" s="309">
        <f t="shared" si="56"/>
        <v>6.3637516298067567</v>
      </c>
      <c r="R364" s="307"/>
      <c r="S364" s="307"/>
    </row>
    <row r="365" spans="9:19">
      <c r="I365" s="310"/>
      <c r="K365" s="12" t="s">
        <v>4</v>
      </c>
      <c r="L365" s="304" t="s">
        <v>4</v>
      </c>
      <c r="M365" s="309">
        <f t="shared" si="52"/>
        <v>0.8678268241827507</v>
      </c>
      <c r="N365" s="309">
        <f t="shared" si="53"/>
        <v>0.94397105194182362</v>
      </c>
      <c r="O365" s="309">
        <f t="shared" si="54"/>
        <v>0.9945094607973769</v>
      </c>
      <c r="P365" s="309">
        <f t="shared" si="55"/>
        <v>1.1266211536347783</v>
      </c>
      <c r="Q365" s="309">
        <f t="shared" si="56"/>
        <v>1.1294481352202763</v>
      </c>
      <c r="R365" s="307"/>
      <c r="S365" s="307"/>
    </row>
    <row r="366" spans="9:19">
      <c r="I366" s="310"/>
      <c r="K366" s="12" t="s">
        <v>22</v>
      </c>
      <c r="L366" s="304" t="s">
        <v>89</v>
      </c>
      <c r="M366" s="309">
        <f t="shared" si="52"/>
        <v>1.1575477432860892</v>
      </c>
      <c r="N366" s="309">
        <f t="shared" si="53"/>
        <v>1.3425273948522578</v>
      </c>
      <c r="O366" s="309">
        <f t="shared" si="54"/>
        <v>1.4033384811305372</v>
      </c>
      <c r="P366" s="309">
        <f t="shared" si="55"/>
        <v>1.3612832812534212</v>
      </c>
      <c r="Q366" s="309">
        <f t="shared" si="56"/>
        <v>1.2715778070063199</v>
      </c>
      <c r="R366" s="307"/>
      <c r="S366" s="307"/>
    </row>
    <row r="367" spans="9:19">
      <c r="I367" s="310"/>
      <c r="K367" s="12" t="s">
        <v>22</v>
      </c>
      <c r="L367" s="304" t="s">
        <v>46</v>
      </c>
      <c r="M367" s="309">
        <f t="shared" si="52"/>
        <v>1.5684714523676531</v>
      </c>
      <c r="N367" s="309">
        <f t="shared" si="53"/>
        <v>2.06022256626725</v>
      </c>
      <c r="O367" s="309">
        <f t="shared" si="54"/>
        <v>2.1630922855366204</v>
      </c>
      <c r="P367" s="309">
        <f t="shared" si="55"/>
        <v>2.1722826304137004</v>
      </c>
      <c r="Q367" s="309">
        <f t="shared" si="56"/>
        <v>2.0602102444638208</v>
      </c>
      <c r="R367" s="307"/>
      <c r="S367" s="307"/>
    </row>
    <row r="368" spans="9:19">
      <c r="I368" s="310"/>
      <c r="K368" s="85"/>
      <c r="L368" s="85"/>
      <c r="M368" s="85"/>
    </row>
    <row r="369" spans="9:9">
      <c r="I369" s="310"/>
    </row>
    <row r="370" spans="9:9">
      <c r="I370" s="310"/>
    </row>
    <row r="371" spans="9:9">
      <c r="I371" s="310"/>
    </row>
    <row r="372" spans="9:9">
      <c r="I372" s="310"/>
    </row>
  </sheetData>
  <mergeCells count="139">
    <mergeCell ref="B199:C199"/>
    <mergeCell ref="B210:C210"/>
    <mergeCell ref="B245:C245"/>
    <mergeCell ref="E245:I245"/>
    <mergeCell ref="B255:C255"/>
    <mergeCell ref="B250:C250"/>
    <mergeCell ref="B251:C251"/>
    <mergeCell ref="B252:C252"/>
    <mergeCell ref="B253:C253"/>
    <mergeCell ref="B254:C254"/>
    <mergeCell ref="B203:C203"/>
    <mergeCell ref="E222:I222"/>
    <mergeCell ref="B213:C213"/>
    <mergeCell ref="B214:C214"/>
    <mergeCell ref="B212:C212"/>
    <mergeCell ref="B206:C206"/>
    <mergeCell ref="B234:C234"/>
    <mergeCell ref="E234:I234"/>
    <mergeCell ref="E246:I246"/>
    <mergeCell ref="B221:C221"/>
    <mergeCell ref="B223:C223"/>
    <mergeCell ref="B208:C208"/>
    <mergeCell ref="B209:C209"/>
    <mergeCell ref="B229:C229"/>
    <mergeCell ref="B256:C256"/>
    <mergeCell ref="B257:C257"/>
    <mergeCell ref="B258:C258"/>
    <mergeCell ref="D251:E251"/>
    <mergeCell ref="D252:E252"/>
    <mergeCell ref="E175:H175"/>
    <mergeCell ref="E176:H176"/>
    <mergeCell ref="E177:H177"/>
    <mergeCell ref="E178:H178"/>
    <mergeCell ref="E179:H179"/>
    <mergeCell ref="E180:H180"/>
    <mergeCell ref="B200:C200"/>
    <mergeCell ref="B201:C201"/>
    <mergeCell ref="E242:I242"/>
    <mergeCell ref="E243:I243"/>
    <mergeCell ref="E244:I244"/>
    <mergeCell ref="B231:C231"/>
    <mergeCell ref="B232:C232"/>
    <mergeCell ref="B235:C235"/>
    <mergeCell ref="B236:C236"/>
    <mergeCell ref="B228:C228"/>
    <mergeCell ref="E228:I228"/>
    <mergeCell ref="B233:C233"/>
    <mergeCell ref="B202:C202"/>
    <mergeCell ref="B175:C175"/>
    <mergeCell ref="B176:C176"/>
    <mergeCell ref="B177:C177"/>
    <mergeCell ref="B179:C179"/>
    <mergeCell ref="B180:C180"/>
    <mergeCell ref="E170:F170"/>
    <mergeCell ref="E164:H164"/>
    <mergeCell ref="E165:H165"/>
    <mergeCell ref="E166:H166"/>
    <mergeCell ref="E167:H167"/>
    <mergeCell ref="E168:H168"/>
    <mergeCell ref="E169:H169"/>
    <mergeCell ref="E163:H163"/>
    <mergeCell ref="E174:H174"/>
    <mergeCell ref="E173:H173"/>
    <mergeCell ref="B158:C158"/>
    <mergeCell ref="B159:C159"/>
    <mergeCell ref="B160:C160"/>
    <mergeCell ref="B170:C170"/>
    <mergeCell ref="B150:C150"/>
    <mergeCell ref="B140:C140"/>
    <mergeCell ref="B173:C173"/>
    <mergeCell ref="B163:C163"/>
    <mergeCell ref="B166:C166"/>
    <mergeCell ref="B167:C167"/>
    <mergeCell ref="B168:C168"/>
    <mergeCell ref="B169:C169"/>
    <mergeCell ref="B155:C155"/>
    <mergeCell ref="B143:C143"/>
    <mergeCell ref="B154:C154"/>
    <mergeCell ref="B156:C156"/>
    <mergeCell ref="B157:C157"/>
    <mergeCell ref="B174:C174"/>
    <mergeCell ref="O54:U54"/>
    <mergeCell ref="H54:N54"/>
    <mergeCell ref="B178:C178"/>
    <mergeCell ref="B196:C196"/>
    <mergeCell ref="B197:C197"/>
    <mergeCell ref="B198:C198"/>
    <mergeCell ref="B195:C195"/>
    <mergeCell ref="B207:C207"/>
    <mergeCell ref="B133:C133"/>
    <mergeCell ref="B165:C165"/>
    <mergeCell ref="B164:C164"/>
    <mergeCell ref="B144:C144"/>
    <mergeCell ref="B145:C145"/>
    <mergeCell ref="B146:C146"/>
    <mergeCell ref="B147:C147"/>
    <mergeCell ref="B148:C148"/>
    <mergeCell ref="B149:C149"/>
    <mergeCell ref="B134:C134"/>
    <mergeCell ref="B135:C135"/>
    <mergeCell ref="B136:C136"/>
    <mergeCell ref="B137:C137"/>
    <mergeCell ref="B138:C138"/>
    <mergeCell ref="B139:C139"/>
    <mergeCell ref="B153:C153"/>
    <mergeCell ref="B211:C211"/>
    <mergeCell ref="E239:I239"/>
    <mergeCell ref="E236:I236"/>
    <mergeCell ref="B230:C230"/>
    <mergeCell ref="E218:I218"/>
    <mergeCell ref="E219:I219"/>
    <mergeCell ref="E220:I220"/>
    <mergeCell ref="E217:I217"/>
    <mergeCell ref="B218:C218"/>
    <mergeCell ref="B219:C219"/>
    <mergeCell ref="B220:C220"/>
    <mergeCell ref="B224:C224"/>
    <mergeCell ref="B225:C225"/>
    <mergeCell ref="E221:I221"/>
    <mergeCell ref="E223:I223"/>
    <mergeCell ref="E224:I224"/>
    <mergeCell ref="E225:I225"/>
    <mergeCell ref="E235:I235"/>
    <mergeCell ref="E229:I229"/>
    <mergeCell ref="E230:I230"/>
    <mergeCell ref="E231:I231"/>
    <mergeCell ref="E232:I232"/>
    <mergeCell ref="E233:I233"/>
    <mergeCell ref="E247:I247"/>
    <mergeCell ref="B239:C239"/>
    <mergeCell ref="B240:C240"/>
    <mergeCell ref="B241:C241"/>
    <mergeCell ref="B242:C242"/>
    <mergeCell ref="B243:C243"/>
    <mergeCell ref="B244:C244"/>
    <mergeCell ref="B246:C246"/>
    <mergeCell ref="B247:C247"/>
    <mergeCell ref="E240:I240"/>
    <mergeCell ref="E241:I241"/>
  </mergeCells>
  <conditionalFormatting sqref="C90:I90">
    <cfRule type="expression" dxfId="92" priority="13">
      <formula>AND(#REF!="Actuals",#REF!="Forecast")</formula>
    </cfRule>
  </conditionalFormatting>
  <conditionalFormatting sqref="H54">
    <cfRule type="expression" dxfId="91" priority="18">
      <formula>AND(#REF!="Actuals",#REF!="Forecast")</formula>
    </cfRule>
  </conditionalFormatting>
  <conditionalFormatting sqref="H55:U55">
    <cfRule type="expression" dxfId="90" priority="6">
      <formula>AND(#REF!="Actuals",#REF!="Forecast")</formula>
    </cfRule>
  </conditionalFormatting>
  <conditionalFormatting sqref="O54">
    <cfRule type="expression" dxfId="89" priority="7">
      <formula>AND(#REF!="Actuals",#REF!="Forecast")</formula>
    </cfRule>
  </conditionalFormatting>
  <pageMargins left="0.7" right="0.7" top="0.75" bottom="0.75" header="0.3" footer="0.3"/>
  <pageSetup paperSize="9" orientation="portrait" r:id="rId1"/>
  <headerFooter>
    <oddFooter>&amp;C&amp;"Calibri"&amp;11&amp;K000000_x000D_&amp;1#&amp;"Calibri"&amp;12&amp;K008000Internal Use</oddFooter>
  </headerFooter>
  <extLst>
    <ext xmlns:x14="http://schemas.microsoft.com/office/spreadsheetml/2009/9/main" uri="{78C0D931-6437-407d-A8EE-F0AAD7539E65}">
      <x14:conditionalFormattings>
        <x14:conditionalFormatting xmlns:xm="http://schemas.microsoft.com/office/excel/2006/main">
          <x14:cfRule type="expression" priority="21" id="{FAB975EA-77B5-47ED-B7AC-B8CAF74E8714}">
            <xm:f>AND('RFPR cover'!B$7="Actuals",'RFPR cover'!C$7="Forecast")</xm:f>
            <x14:dxf>
              <border>
                <right style="thin">
                  <color auto="1"/>
                </right>
                <vertical/>
                <horizontal/>
              </border>
            </x14:dxf>
          </x14:cfRule>
          <xm:sqref>C303:G303</xm:sqref>
        </x14:conditionalFormatting>
        <x14:conditionalFormatting xmlns:xm="http://schemas.microsoft.com/office/excel/2006/main">
          <x14:cfRule type="expression" priority="292" id="{FAB975EA-77B5-47ED-B7AC-B8CAF74E8714}">
            <xm:f>AND('RFPR cover'!B$7="Actuals",'RFPR cover'!C$7="Forecast")</xm:f>
            <x14:dxf>
              <border>
                <right style="thin">
                  <color auto="1"/>
                </right>
                <vertical/>
                <horizontal/>
              </border>
            </x14:dxf>
          </x14:cfRule>
          <xm:sqref>E26:L26</xm:sqref>
        </x14:conditionalFormatting>
        <x14:conditionalFormatting xmlns:xm="http://schemas.microsoft.com/office/excel/2006/main">
          <x14:cfRule type="expression" priority="295" id="{FAB975EA-77B5-47ED-B7AC-B8CAF74E8714}">
            <xm:f>AND('RFPR cover'!G$7="Actuals",'RFPR cover'!#REF!="Forecast")</xm:f>
            <x14:dxf>
              <border>
                <right style="thin">
                  <color auto="1"/>
                </right>
                <vertical/>
                <horizontal/>
              </border>
            </x14:dxf>
          </x14:cfRule>
          <xm:sqref>H303</xm:sqref>
        </x14:conditionalFormatting>
        <x14:conditionalFormatting xmlns:xm="http://schemas.microsoft.com/office/excel/2006/main">
          <x14:cfRule type="expression" priority="294" id="{FAB975EA-77B5-47ED-B7AC-B8CAF74E8714}">
            <xm:f>AND('RFPR cover'!#REF!="Actuals",'RFPR cover'!H$7="Forecast")</xm:f>
            <x14:dxf>
              <border>
                <right style="thin">
                  <color auto="1"/>
                </right>
                <vertical/>
                <horizontal/>
              </border>
            </x14:dxf>
          </x14:cfRule>
          <xm:sqref>I303</xm:sqref>
        </x14:conditionalFormatting>
        <x14:conditionalFormatting xmlns:xm="http://schemas.microsoft.com/office/excel/2006/main">
          <x14:cfRule type="expression" priority="2" id="{C0744898-5A84-42DA-AEC7-EA546F2FA876}">
            <xm:f>AND('RFPR cover'!B$7="Actuals",'RFPR cover'!C$7="Forecast")</xm:f>
            <x14:dxf>
              <border>
                <right style="thin">
                  <color auto="1"/>
                </right>
                <vertical/>
                <horizontal/>
              </border>
            </x14:dxf>
          </x14:cfRule>
          <xm:sqref>M303:S303 M338:S338</xm:sqref>
        </x14:conditionalFormatting>
        <x14:conditionalFormatting xmlns:xm="http://schemas.microsoft.com/office/excel/2006/main">
          <x14:cfRule type="expression" priority="297" id="{FAB975EA-77B5-47ED-B7AC-B8CAF74E8714}">
            <xm:f>AND('RFPR cover'!A$7="Actuals",'RFPR cover'!B$7="Forecast")</xm:f>
            <x14:dxf>
              <border>
                <right style="thin">
                  <color auto="1"/>
                </right>
                <vertical/>
                <horizontal/>
              </border>
            </x14:dxf>
          </x14:cfRule>
          <xm:sqref>C36:J36 C47:J47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9"/>
  <sheetViews>
    <sheetView workbookViewId="0">
      <selection activeCell="C21" sqref="C21"/>
    </sheetView>
  </sheetViews>
  <sheetFormatPr defaultRowHeight="12.75"/>
  <cols>
    <col min="1" max="1" width="8.375" customWidth="1"/>
    <col min="2" max="2" width="23.75" customWidth="1"/>
    <col min="3" max="3" width="25.75" customWidth="1"/>
    <col min="4" max="4" width="9.75" customWidth="1"/>
  </cols>
  <sheetData>
    <row r="1" spans="1:13" ht="20.25">
      <c r="A1" s="96" t="s">
        <v>234</v>
      </c>
      <c r="B1" s="96"/>
      <c r="C1" s="96"/>
      <c r="D1" s="96"/>
      <c r="E1" s="96"/>
      <c r="F1" s="96"/>
      <c r="G1" s="96"/>
      <c r="H1" s="96"/>
      <c r="I1" s="8" t="s">
        <v>235</v>
      </c>
      <c r="J1" s="9"/>
      <c r="K1" s="9"/>
      <c r="L1" s="9"/>
      <c r="M1" s="9"/>
    </row>
    <row r="2" spans="1:13" ht="20.25">
      <c r="A2" s="320" t="str">
        <f>Licensee</f>
        <v>SPT</v>
      </c>
      <c r="B2" s="96"/>
      <c r="C2" s="96"/>
      <c r="D2" s="96"/>
      <c r="E2" s="96"/>
      <c r="F2" s="96"/>
      <c r="G2" s="96"/>
      <c r="H2" s="96"/>
      <c r="I2" s="9"/>
      <c r="J2" s="9"/>
      <c r="K2" s="9"/>
      <c r="L2" s="9"/>
      <c r="M2" s="9"/>
    </row>
    <row r="3" spans="1:13" ht="20.25">
      <c r="A3" s="96">
        <f>Reporting_Year</f>
        <v>2023</v>
      </c>
      <c r="B3" s="96"/>
      <c r="C3" s="96"/>
      <c r="D3" s="96"/>
      <c r="E3" s="96"/>
      <c r="F3" s="96"/>
      <c r="G3" s="96"/>
      <c r="H3" s="96"/>
      <c r="I3" s="9"/>
      <c r="J3" s="9"/>
      <c r="K3" s="9"/>
      <c r="L3" s="9"/>
      <c r="M3" s="9"/>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5" t="s">
        <v>236</v>
      </c>
      <c r="C6" s="4"/>
      <c r="D6" s="4"/>
      <c r="E6" s="4"/>
      <c r="F6" s="4"/>
      <c r="G6" s="4"/>
      <c r="H6" s="4"/>
      <c r="I6" s="4"/>
      <c r="J6" s="4"/>
      <c r="K6" s="4"/>
      <c r="L6" s="4"/>
      <c r="M6" s="4"/>
    </row>
    <row r="7" spans="1:13">
      <c r="A7" s="4"/>
      <c r="B7" s="4"/>
      <c r="C7" s="4"/>
      <c r="D7" s="4"/>
      <c r="E7" s="4"/>
      <c r="F7" s="4"/>
      <c r="G7" s="4"/>
      <c r="H7" s="4"/>
      <c r="I7" s="4"/>
      <c r="J7" s="4"/>
      <c r="K7" s="4"/>
      <c r="L7" s="4"/>
      <c r="M7" s="4"/>
    </row>
    <row r="8" spans="1:13">
      <c r="A8" s="4"/>
      <c r="B8" s="256" t="s">
        <v>237</v>
      </c>
      <c r="C8" s="256" t="s">
        <v>238</v>
      </c>
      <c r="D8" s="793" t="s">
        <v>239</v>
      </c>
      <c r="E8" s="794"/>
      <c r="F8" s="794"/>
      <c r="G8" s="794"/>
      <c r="H8" s="794"/>
      <c r="I8" s="4"/>
      <c r="J8" s="4"/>
      <c r="K8" s="4"/>
      <c r="L8" s="4"/>
      <c r="M8" s="4"/>
    </row>
    <row r="9" spans="1:13">
      <c r="A9" s="4"/>
      <c r="B9" s="257" t="s">
        <v>240</v>
      </c>
      <c r="C9" s="258" t="s">
        <v>241</v>
      </c>
      <c r="D9" s="791"/>
      <c r="E9" s="792"/>
      <c r="F9" s="792"/>
      <c r="G9" s="792"/>
      <c r="H9" s="792"/>
      <c r="I9" s="4"/>
      <c r="J9" s="4"/>
      <c r="K9" s="4"/>
      <c r="L9" s="4"/>
      <c r="M9" s="4"/>
    </row>
    <row r="10" spans="1:13">
      <c r="A10" s="4"/>
      <c r="B10" s="257" t="s">
        <v>242</v>
      </c>
      <c r="C10" s="258"/>
      <c r="D10" s="791"/>
      <c r="E10" s="792"/>
      <c r="F10" s="792"/>
      <c r="G10" s="792"/>
      <c r="H10" s="792"/>
      <c r="I10" s="4"/>
      <c r="J10" s="4"/>
      <c r="K10" s="4"/>
      <c r="L10" s="4"/>
      <c r="M10" s="4"/>
    </row>
    <row r="11" spans="1:13">
      <c r="A11" s="4"/>
      <c r="B11" s="257" t="s">
        <v>243</v>
      </c>
      <c r="C11" s="258"/>
      <c r="D11" s="791"/>
      <c r="E11" s="792"/>
      <c r="F11" s="792"/>
      <c r="G11" s="792"/>
      <c r="H11" s="792"/>
      <c r="I11" s="4"/>
      <c r="J11" s="4"/>
      <c r="K11" s="4"/>
      <c r="L11" s="4"/>
      <c r="M11" s="4"/>
    </row>
    <row r="12" spans="1:13">
      <c r="A12" s="4"/>
      <c r="B12" s="257" t="s">
        <v>244</v>
      </c>
      <c r="C12" s="258"/>
      <c r="D12" s="791"/>
      <c r="E12" s="792"/>
      <c r="F12" s="792"/>
      <c r="G12" s="792"/>
      <c r="H12" s="792"/>
      <c r="I12" s="4"/>
      <c r="J12" s="4"/>
      <c r="K12" s="4"/>
      <c r="L12" s="4"/>
      <c r="M12" s="4"/>
    </row>
    <row r="13" spans="1:13">
      <c r="A13" s="4"/>
      <c r="B13" s="257" t="s">
        <v>245</v>
      </c>
      <c r="C13" s="258"/>
      <c r="D13" s="791"/>
      <c r="E13" s="792"/>
      <c r="F13" s="792"/>
      <c r="G13" s="792"/>
      <c r="H13" s="792"/>
      <c r="I13" s="4"/>
      <c r="J13" s="4"/>
      <c r="K13" s="4"/>
      <c r="L13" s="4"/>
      <c r="M13" s="4"/>
    </row>
    <row r="14" spans="1:13">
      <c r="A14" s="4"/>
      <c r="B14" s="257" t="s">
        <v>246</v>
      </c>
      <c r="C14" s="258"/>
      <c r="D14" s="791"/>
      <c r="E14" s="792"/>
      <c r="F14" s="792"/>
      <c r="G14" s="792"/>
      <c r="H14" s="792"/>
      <c r="I14" s="4"/>
      <c r="J14" s="4"/>
      <c r="K14" s="4"/>
      <c r="L14" s="4"/>
      <c r="M14" s="4"/>
    </row>
    <row r="15" spans="1:13">
      <c r="A15" s="4"/>
      <c r="B15" s="257" t="s">
        <v>247</v>
      </c>
      <c r="C15" s="258"/>
      <c r="D15" s="791"/>
      <c r="E15" s="792"/>
      <c r="F15" s="792"/>
      <c r="G15" s="792"/>
      <c r="H15" s="792"/>
      <c r="I15" s="4"/>
      <c r="J15" s="4"/>
      <c r="K15" s="4"/>
      <c r="L15" s="4"/>
      <c r="M15" s="4"/>
    </row>
    <row r="16" spans="1:13">
      <c r="A16" s="4"/>
      <c r="B16" s="257" t="s">
        <v>248</v>
      </c>
      <c r="C16" s="258"/>
      <c r="D16" s="791"/>
      <c r="E16" s="792"/>
      <c r="F16" s="792"/>
      <c r="G16" s="792"/>
      <c r="H16" s="792"/>
      <c r="I16" s="4"/>
      <c r="J16" s="4"/>
      <c r="K16" s="4"/>
      <c r="L16" s="4"/>
      <c r="M16" s="4"/>
    </row>
    <row r="17" spans="1:13">
      <c r="A17" s="4"/>
      <c r="B17" s="257" t="s">
        <v>249</v>
      </c>
      <c r="C17" s="258"/>
      <c r="D17" s="791"/>
      <c r="E17" s="792"/>
      <c r="F17" s="792"/>
      <c r="G17" s="792"/>
      <c r="H17" s="792"/>
      <c r="I17" s="4"/>
      <c r="J17" s="4"/>
      <c r="K17" s="4"/>
      <c r="L17" s="4"/>
      <c r="M17" s="4"/>
    </row>
    <row r="18" spans="1:13">
      <c r="A18" s="4"/>
      <c r="B18" s="257" t="s">
        <v>250</v>
      </c>
      <c r="C18" s="258"/>
      <c r="D18" s="791"/>
      <c r="E18" s="792"/>
      <c r="F18" s="792"/>
      <c r="G18" s="792"/>
      <c r="H18" s="792"/>
      <c r="I18" s="4"/>
      <c r="J18" s="4"/>
      <c r="K18" s="4"/>
      <c r="L18" s="4"/>
      <c r="M18" s="4"/>
    </row>
    <row r="19" spans="1:13">
      <c r="A19" s="4"/>
      <c r="B19" s="4"/>
      <c r="C19" s="4"/>
      <c r="D19" s="4"/>
      <c r="E19" s="4"/>
      <c r="F19" s="4"/>
      <c r="G19" s="4"/>
      <c r="H19" s="4"/>
      <c r="I19" s="4"/>
      <c r="J19" s="4"/>
      <c r="K19" s="4"/>
      <c r="L19" s="4"/>
      <c r="M19" s="4"/>
    </row>
    <row r="20" spans="1:13">
      <c r="A20" s="4"/>
      <c r="B20" s="34"/>
      <c r="C20" s="4"/>
      <c r="D20" s="4"/>
      <c r="E20" s="4"/>
      <c r="F20" s="4"/>
      <c r="G20" s="4"/>
      <c r="H20" s="4"/>
      <c r="I20" s="4"/>
      <c r="J20" s="4"/>
      <c r="K20" s="4"/>
      <c r="L20" s="4"/>
    </row>
    <row r="21" spans="1:13">
      <c r="A21" s="4"/>
      <c r="B21" s="47" t="s">
        <v>251</v>
      </c>
      <c r="C21" s="4"/>
      <c r="D21" s="4"/>
      <c r="E21" s="4"/>
      <c r="F21" s="4"/>
      <c r="G21" s="4"/>
      <c r="H21" s="4"/>
      <c r="I21" s="4"/>
      <c r="J21" s="4"/>
      <c r="K21" s="4"/>
      <c r="L21" s="4"/>
    </row>
    <row r="22" spans="1:13">
      <c r="A22" s="4"/>
      <c r="B22" s="47" t="s">
        <v>252</v>
      </c>
      <c r="C22" s="4"/>
      <c r="D22" s="4"/>
      <c r="E22" s="4"/>
      <c r="F22" s="4"/>
      <c r="G22" s="4"/>
      <c r="H22" s="4"/>
      <c r="I22" s="4"/>
      <c r="J22" s="4"/>
      <c r="K22" s="4"/>
      <c r="L22" s="4"/>
    </row>
    <row r="23" spans="1:13">
      <c r="A23" s="4"/>
      <c r="B23" s="47" t="s">
        <v>253</v>
      </c>
      <c r="C23" s="4"/>
      <c r="D23" s="4"/>
      <c r="E23" s="4"/>
      <c r="F23" s="4"/>
      <c r="G23" s="4"/>
      <c r="H23" s="4"/>
      <c r="I23" s="4"/>
      <c r="J23" s="4"/>
      <c r="K23" s="4"/>
      <c r="L23" s="4"/>
    </row>
    <row r="24" spans="1:13">
      <c r="B24" s="47" t="s">
        <v>254</v>
      </c>
    </row>
    <row r="25" spans="1:13">
      <c r="B25" s="47" t="s">
        <v>255</v>
      </c>
    </row>
    <row r="26" spans="1:13">
      <c r="B26" s="47" t="s">
        <v>256</v>
      </c>
    </row>
    <row r="27" spans="1:13">
      <c r="B27" s="47" t="s">
        <v>257</v>
      </c>
    </row>
    <row r="28" spans="1:13">
      <c r="B28" s="47" t="s">
        <v>258</v>
      </c>
    </row>
    <row r="29" spans="1:13">
      <c r="B29" s="47" t="s">
        <v>259</v>
      </c>
    </row>
    <row r="30" spans="1:13">
      <c r="B30" s="47" t="s">
        <v>260</v>
      </c>
    </row>
    <row r="31" spans="1:13">
      <c r="B31" s="222" t="s">
        <v>261</v>
      </c>
    </row>
    <row r="32" spans="1:13">
      <c r="B32" s="47" t="s">
        <v>262</v>
      </c>
    </row>
    <row r="33" spans="2:5">
      <c r="B33" s="47" t="s">
        <v>263</v>
      </c>
    </row>
    <row r="34" spans="2:5">
      <c r="B34" s="47" t="s">
        <v>264</v>
      </c>
    </row>
    <row r="35" spans="2:5">
      <c r="B35" s="47" t="s">
        <v>265</v>
      </c>
      <c r="E35" s="47"/>
    </row>
    <row r="36" spans="2:5">
      <c r="B36" s="47" t="s">
        <v>266</v>
      </c>
    </row>
    <row r="37" spans="2:5">
      <c r="B37" s="47" t="s">
        <v>267</v>
      </c>
    </row>
    <row r="38" spans="2:5">
      <c r="B38" s="47" t="s">
        <v>268</v>
      </c>
    </row>
    <row r="39" spans="2:5">
      <c r="B39" s="47" t="s">
        <v>269</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 ref="B34" location="'F3 - Fixed Rate Debt'!A1" display="F3 - Fixed Rate Debt" xr:uid="{25398B16-F9FF-42BB-8D5A-F47BA229A132}"/>
    <hyperlink ref="B35" location="'F4 - Floating Rate Debt'!A1" display="F4 - Floating Rate Debt" xr:uid="{4565D883-BD45-4622-A128-9148DD7CD7CA}"/>
    <hyperlink ref="B36" location="'F5 - Inflation Linked Debt'!A1" display="F5 - Inflation Linked Debt" xr:uid="{46BD35D0-625C-41B8-AE89-D11173A4FE48}"/>
    <hyperlink ref="B37" location="'F6 - Debt Dataset'!A1" display="F6 - Debt Dataset" xr:uid="{82108CB9-4BF4-4D24-83CC-84DFF933356B}"/>
    <hyperlink ref="B38" location="'I1 - Universal Data'!A1" display="I1 - Universal Data" xr:uid="{55110A85-731F-4FA3-B0AA-2FB65C28B3E1}"/>
    <hyperlink ref="B39" location="'I2 - Monthly Inflation'!A1" display="I2 - Monthly Inflation" xr:uid="{E143F0F9-EEF5-45FF-86E9-6D5AB43D28AB}"/>
  </hyperlinks>
  <pageMargins left="0.70866141732283472" right="0.70866141732283472" top="0.74803149606299213" bottom="0.74803149606299213" header="0.31496062992125984" footer="0.31496062992125984"/>
  <pageSetup scale="76" orientation="portrait" r:id="rId1"/>
  <headerFooter>
    <oddFooter>&amp;C&amp;"Calibri"&amp;11&amp;K000000_x000D_&amp;1#&amp;"Calibri"&amp;12&amp;K008000Internal Use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61"/>
  <sheetViews>
    <sheetView zoomScaleNormal="100" workbookViewId="0">
      <selection activeCell="C62" sqref="C62"/>
    </sheetView>
  </sheetViews>
  <sheetFormatPr defaultRowHeight="12.75"/>
  <cols>
    <col min="1" max="1" width="19.125" bestFit="1" customWidth="1"/>
    <col min="2" max="2" width="21.75" customWidth="1"/>
    <col min="3" max="3" width="104.125" customWidth="1"/>
    <col min="4" max="4" width="16.5" customWidth="1"/>
    <col min="5" max="5" width="35.5" customWidth="1"/>
    <col min="6" max="6" width="41.75" customWidth="1"/>
  </cols>
  <sheetData>
    <row r="1" spans="1:10" ht="20.25">
      <c r="A1" s="6" t="s">
        <v>270</v>
      </c>
      <c r="B1" s="6"/>
      <c r="C1" s="6"/>
      <c r="D1" s="6"/>
      <c r="E1" s="6"/>
    </row>
    <row r="2" spans="1:10" ht="20.25">
      <c r="A2" s="320" t="str">
        <f>Licensee</f>
        <v>SPT</v>
      </c>
      <c r="B2" s="6"/>
      <c r="C2" s="6"/>
      <c r="D2" s="6"/>
      <c r="E2" s="6"/>
    </row>
    <row r="3" spans="1:10" ht="20.25">
      <c r="A3" s="96">
        <f>Reporting_Year</f>
        <v>2023</v>
      </c>
      <c r="B3" s="6"/>
      <c r="C3" s="6"/>
      <c r="D3" s="6"/>
      <c r="E3" s="6"/>
    </row>
    <row r="4" spans="1:10" ht="20.25">
      <c r="A4" s="88"/>
      <c r="B4" s="88"/>
      <c r="C4" s="88"/>
      <c r="D4" s="88"/>
      <c r="E4" s="88"/>
    </row>
    <row r="5" spans="1:10" ht="15">
      <c r="A5" s="291" t="s">
        <v>271</v>
      </c>
      <c r="B5" s="292" t="s">
        <v>272</v>
      </c>
      <c r="C5" s="293" t="s">
        <v>273</v>
      </c>
      <c r="D5" s="279" t="s">
        <v>274</v>
      </c>
    </row>
    <row r="6" spans="1:10">
      <c r="A6" s="294" t="s">
        <v>275</v>
      </c>
      <c r="B6" s="295" t="s">
        <v>276</v>
      </c>
      <c r="C6" s="290" t="s">
        <v>277</v>
      </c>
      <c r="D6" s="290" t="s">
        <v>278</v>
      </c>
    </row>
    <row r="7" spans="1:10">
      <c r="A7" s="294" t="s">
        <v>275</v>
      </c>
      <c r="B7" s="295" t="s">
        <v>279</v>
      </c>
      <c r="C7" s="290" t="s">
        <v>280</v>
      </c>
      <c r="D7" s="290" t="s">
        <v>278</v>
      </c>
    </row>
    <row r="8" spans="1:10" ht="25.5">
      <c r="A8" s="294" t="s">
        <v>275</v>
      </c>
      <c r="B8" s="295" t="s">
        <v>281</v>
      </c>
      <c r="C8" s="290" t="s">
        <v>282</v>
      </c>
      <c r="D8" s="290" t="s">
        <v>278</v>
      </c>
    </row>
    <row r="9" spans="1:10" ht="33.950000000000003" customHeight="1">
      <c r="A9" s="294" t="s">
        <v>275</v>
      </c>
      <c r="B9" s="295" t="s">
        <v>283</v>
      </c>
      <c r="C9" s="290" t="s">
        <v>284</v>
      </c>
      <c r="D9" s="290" t="s">
        <v>278</v>
      </c>
    </row>
    <row r="10" spans="1:10" ht="25.5">
      <c r="A10" s="294" t="s">
        <v>275</v>
      </c>
      <c r="B10" s="295" t="s">
        <v>285</v>
      </c>
      <c r="C10" s="290" t="s">
        <v>286</v>
      </c>
      <c r="D10" s="290" t="s">
        <v>278</v>
      </c>
    </row>
    <row r="11" spans="1:10" ht="25.5">
      <c r="A11" s="219" t="s">
        <v>275</v>
      </c>
      <c r="B11" s="295" t="s">
        <v>252</v>
      </c>
      <c r="C11" s="290" t="s">
        <v>287</v>
      </c>
      <c r="D11" s="290" t="s">
        <v>288</v>
      </c>
      <c r="J11" s="122"/>
    </row>
    <row r="12" spans="1:10" ht="25.5">
      <c r="A12" s="219" t="s">
        <v>275</v>
      </c>
      <c r="B12" s="295" t="s">
        <v>289</v>
      </c>
      <c r="C12" s="290" t="s">
        <v>290</v>
      </c>
      <c r="D12" s="290" t="s">
        <v>291</v>
      </c>
    </row>
    <row r="13" spans="1:10">
      <c r="A13" s="219" t="s">
        <v>275</v>
      </c>
      <c r="B13" s="295" t="s">
        <v>292</v>
      </c>
      <c r="C13" s="290" t="s">
        <v>293</v>
      </c>
      <c r="D13" s="290" t="s">
        <v>294</v>
      </c>
    </row>
    <row r="14" spans="1:10" ht="25.5">
      <c r="A14" s="219" t="s">
        <v>275</v>
      </c>
      <c r="B14" s="295" t="s">
        <v>295</v>
      </c>
      <c r="C14" s="290" t="s">
        <v>296</v>
      </c>
      <c r="D14" s="290" t="s">
        <v>84</v>
      </c>
    </row>
    <row r="15" spans="1:10">
      <c r="A15" s="219" t="s">
        <v>275</v>
      </c>
      <c r="B15" s="295" t="s">
        <v>297</v>
      </c>
      <c r="C15" s="290" t="s">
        <v>298</v>
      </c>
      <c r="D15" s="290" t="s">
        <v>299</v>
      </c>
    </row>
    <row r="16" spans="1:10" ht="74.25" customHeight="1">
      <c r="A16" s="219" t="s">
        <v>275</v>
      </c>
      <c r="B16" s="295" t="s">
        <v>259</v>
      </c>
      <c r="C16" s="290" t="s">
        <v>300</v>
      </c>
      <c r="D16" s="290" t="s">
        <v>89</v>
      </c>
    </row>
    <row r="17" spans="1:4" ht="20.25" customHeight="1">
      <c r="A17" s="219" t="s">
        <v>275</v>
      </c>
      <c r="B17" s="295" t="s">
        <v>297</v>
      </c>
      <c r="C17" s="290" t="s">
        <v>301</v>
      </c>
      <c r="D17" s="290" t="s">
        <v>212</v>
      </c>
    </row>
    <row r="18" spans="1:4" ht="21" customHeight="1">
      <c r="A18" s="219" t="s">
        <v>275</v>
      </c>
      <c r="B18" s="295" t="s">
        <v>297</v>
      </c>
      <c r="C18" s="290" t="s">
        <v>302</v>
      </c>
      <c r="D18" s="290" t="s">
        <v>212</v>
      </c>
    </row>
    <row r="19" spans="1:4" ht="21" customHeight="1">
      <c r="A19" s="219" t="s">
        <v>275</v>
      </c>
      <c r="B19" s="295" t="s">
        <v>303</v>
      </c>
      <c r="C19" s="290" t="s">
        <v>304</v>
      </c>
      <c r="D19" s="290" t="s">
        <v>212</v>
      </c>
    </row>
    <row r="20" spans="1:4" ht="38.450000000000003" customHeight="1">
      <c r="A20" s="219" t="s">
        <v>275</v>
      </c>
      <c r="B20" s="295" t="s">
        <v>305</v>
      </c>
      <c r="C20" s="299" t="s">
        <v>306</v>
      </c>
      <c r="D20" s="290" t="s">
        <v>212</v>
      </c>
    </row>
    <row r="21" spans="1:4">
      <c r="A21" s="219" t="s">
        <v>275</v>
      </c>
      <c r="B21" s="295" t="s">
        <v>279</v>
      </c>
      <c r="C21" s="290" t="s">
        <v>307</v>
      </c>
      <c r="D21" s="290" t="s">
        <v>212</v>
      </c>
    </row>
    <row r="22" spans="1:4" ht="25.5">
      <c r="A22" s="296" t="s">
        <v>275</v>
      </c>
      <c r="B22" s="295" t="s">
        <v>308</v>
      </c>
      <c r="C22" s="297" t="s">
        <v>309</v>
      </c>
      <c r="D22" s="298" t="s">
        <v>278</v>
      </c>
    </row>
    <row r="23" spans="1:4" ht="25.5">
      <c r="A23" s="296" t="s">
        <v>275</v>
      </c>
      <c r="B23" s="295" t="s">
        <v>310</v>
      </c>
      <c r="C23" s="297" t="s">
        <v>311</v>
      </c>
      <c r="D23" s="298" t="s">
        <v>278</v>
      </c>
    </row>
    <row r="24" spans="1:4">
      <c r="A24" s="296" t="s">
        <v>275</v>
      </c>
      <c r="B24" s="295" t="s">
        <v>312</v>
      </c>
      <c r="C24" s="297" t="s">
        <v>313</v>
      </c>
      <c r="D24" s="298" t="s">
        <v>278</v>
      </c>
    </row>
    <row r="25" spans="1:4" ht="25.5">
      <c r="A25" s="296" t="s">
        <v>275</v>
      </c>
      <c r="B25" s="295" t="s">
        <v>314</v>
      </c>
      <c r="C25" s="297" t="s">
        <v>315</v>
      </c>
      <c r="D25" s="298" t="s">
        <v>278</v>
      </c>
    </row>
    <row r="26" spans="1:4" ht="57.6" customHeight="1">
      <c r="A26" s="296" t="s">
        <v>275</v>
      </c>
      <c r="B26" s="295" t="s">
        <v>316</v>
      </c>
      <c r="C26" s="290" t="s">
        <v>317</v>
      </c>
      <c r="D26" s="246" t="s">
        <v>81</v>
      </c>
    </row>
    <row r="27" spans="1:4" ht="63.6" customHeight="1">
      <c r="A27" s="296" t="s">
        <v>275</v>
      </c>
      <c r="B27" s="295" t="s">
        <v>318</v>
      </c>
      <c r="C27" s="290" t="s">
        <v>319</v>
      </c>
      <c r="D27" s="246" t="s">
        <v>81</v>
      </c>
    </row>
    <row r="28" spans="1:4" ht="24" customHeight="1">
      <c r="A28" s="296" t="s">
        <v>275</v>
      </c>
      <c r="B28" s="295" t="s">
        <v>320</v>
      </c>
      <c r="C28" s="246" t="s">
        <v>321</v>
      </c>
      <c r="D28" s="246" t="s">
        <v>322</v>
      </c>
    </row>
    <row r="29" spans="1:4" ht="51">
      <c r="A29" s="296" t="s">
        <v>275</v>
      </c>
      <c r="B29" s="295" t="s">
        <v>323</v>
      </c>
      <c r="C29" s="290" t="s">
        <v>324</v>
      </c>
      <c r="D29" s="290" t="s">
        <v>325</v>
      </c>
    </row>
    <row r="30" spans="1:4">
      <c r="A30" s="296" t="s">
        <v>275</v>
      </c>
      <c r="B30" s="295" t="s">
        <v>259</v>
      </c>
      <c r="C30" s="290" t="s">
        <v>326</v>
      </c>
      <c r="D30" s="290" t="s">
        <v>4</v>
      </c>
    </row>
    <row r="31" spans="1:4">
      <c r="A31" s="296" t="s">
        <v>275</v>
      </c>
      <c r="B31" s="295" t="s">
        <v>327</v>
      </c>
      <c r="C31" s="290" t="s">
        <v>328</v>
      </c>
      <c r="D31" s="290" t="s">
        <v>329</v>
      </c>
    </row>
    <row r="32" spans="1:4">
      <c r="A32" s="296" t="s">
        <v>275</v>
      </c>
      <c r="B32" s="295" t="s">
        <v>330</v>
      </c>
      <c r="C32" s="290" t="s">
        <v>331</v>
      </c>
      <c r="D32" s="290" t="s">
        <v>278</v>
      </c>
    </row>
    <row r="33" spans="1:4">
      <c r="A33" s="296" t="s">
        <v>275</v>
      </c>
      <c r="B33" s="295" t="s">
        <v>330</v>
      </c>
      <c r="C33" s="290" t="s">
        <v>332</v>
      </c>
      <c r="D33" s="290" t="s">
        <v>278</v>
      </c>
    </row>
    <row r="34" spans="1:4">
      <c r="A34" s="296" t="s">
        <v>275</v>
      </c>
      <c r="B34" s="295" t="s">
        <v>333</v>
      </c>
      <c r="C34" s="290" t="s">
        <v>334</v>
      </c>
      <c r="D34" s="290" t="s">
        <v>278</v>
      </c>
    </row>
    <row r="35" spans="1:4">
      <c r="A35" s="296" t="s">
        <v>275</v>
      </c>
      <c r="B35" s="295" t="s">
        <v>335</v>
      </c>
      <c r="C35" s="290" t="s">
        <v>336</v>
      </c>
      <c r="D35" s="290" t="s">
        <v>278</v>
      </c>
    </row>
    <row r="36" spans="1:4">
      <c r="A36" s="296" t="s">
        <v>275</v>
      </c>
      <c r="B36" s="295" t="s">
        <v>337</v>
      </c>
      <c r="C36" s="290" t="s">
        <v>338</v>
      </c>
      <c r="D36" s="290" t="s">
        <v>339</v>
      </c>
    </row>
    <row r="37" spans="1:4" ht="15" customHeight="1">
      <c r="A37" s="296" t="s">
        <v>275</v>
      </c>
      <c r="B37" s="295" t="s">
        <v>337</v>
      </c>
      <c r="C37" s="319" t="s">
        <v>340</v>
      </c>
      <c r="D37" s="290" t="s">
        <v>339</v>
      </c>
    </row>
    <row r="38" spans="1:4" ht="17.45" customHeight="1">
      <c r="A38" s="296" t="s">
        <v>275</v>
      </c>
      <c r="B38" s="295" t="s">
        <v>337</v>
      </c>
      <c r="C38" s="319" t="s">
        <v>341</v>
      </c>
      <c r="D38" s="290" t="s">
        <v>212</v>
      </c>
    </row>
    <row r="39" spans="1:4" ht="26.1" customHeight="1">
      <c r="A39" s="296" t="s">
        <v>275</v>
      </c>
      <c r="B39" s="295" t="s">
        <v>337</v>
      </c>
      <c r="C39" s="319" t="s">
        <v>342</v>
      </c>
      <c r="D39" s="290" t="s">
        <v>339</v>
      </c>
    </row>
    <row r="40" spans="1:4" ht="25.5">
      <c r="A40" s="296" t="s">
        <v>275</v>
      </c>
      <c r="B40" s="295" t="s">
        <v>333</v>
      </c>
      <c r="C40" s="297" t="s">
        <v>343</v>
      </c>
      <c r="D40" s="290" t="s">
        <v>212</v>
      </c>
    </row>
    <row r="41" spans="1:4" ht="25.5">
      <c r="A41" s="296" t="s">
        <v>275</v>
      </c>
      <c r="B41" s="295" t="s">
        <v>344</v>
      </c>
      <c r="C41" s="290" t="s">
        <v>345</v>
      </c>
      <c r="D41" s="290" t="s">
        <v>278</v>
      </c>
    </row>
    <row r="42" spans="1:4">
      <c r="A42" s="296" t="s">
        <v>275</v>
      </c>
      <c r="B42" s="295" t="s">
        <v>346</v>
      </c>
      <c r="C42" s="297" t="s">
        <v>347</v>
      </c>
      <c r="D42" s="290" t="s">
        <v>348</v>
      </c>
    </row>
    <row r="43" spans="1:4">
      <c r="A43" s="296" t="s">
        <v>275</v>
      </c>
      <c r="B43" s="295" t="s">
        <v>349</v>
      </c>
      <c r="C43" s="297" t="s">
        <v>350</v>
      </c>
      <c r="D43" s="290" t="s">
        <v>278</v>
      </c>
    </row>
    <row r="44" spans="1:4">
      <c r="A44" s="296"/>
      <c r="B44" s="147" t="s">
        <v>351</v>
      </c>
      <c r="C44" s="290" t="s">
        <v>352</v>
      </c>
      <c r="D44" s="290" t="s">
        <v>278</v>
      </c>
    </row>
    <row r="45" spans="1:4" ht="25.5">
      <c r="A45" s="296"/>
      <c r="B45" s="147" t="s">
        <v>353</v>
      </c>
      <c r="C45" s="290" t="s">
        <v>354</v>
      </c>
      <c r="D45" s="290" t="s">
        <v>278</v>
      </c>
    </row>
    <row r="46" spans="1:4">
      <c r="A46" s="296" t="s">
        <v>275</v>
      </c>
      <c r="B46" s="295" t="s">
        <v>355</v>
      </c>
      <c r="C46" s="297" t="s">
        <v>356</v>
      </c>
      <c r="D46" s="290" t="s">
        <v>278</v>
      </c>
    </row>
    <row r="47" spans="1:4">
      <c r="A47" s="296" t="s">
        <v>275</v>
      </c>
      <c r="B47" s="295" t="s">
        <v>357</v>
      </c>
      <c r="C47" s="297" t="s">
        <v>358</v>
      </c>
      <c r="D47" s="290" t="s">
        <v>278</v>
      </c>
    </row>
    <row r="48" spans="1:4">
      <c r="A48" s="296" t="s">
        <v>275</v>
      </c>
      <c r="B48" s="295" t="s">
        <v>357</v>
      </c>
      <c r="C48" s="297" t="s">
        <v>359</v>
      </c>
      <c r="D48" s="290" t="s">
        <v>278</v>
      </c>
    </row>
    <row r="49" spans="1:4">
      <c r="A49" s="296" t="s">
        <v>275</v>
      </c>
      <c r="B49" s="295" t="s">
        <v>357</v>
      </c>
      <c r="C49" s="297" t="s">
        <v>360</v>
      </c>
      <c r="D49" s="290" t="s">
        <v>361</v>
      </c>
    </row>
    <row r="50" spans="1:4">
      <c r="A50" s="296" t="s">
        <v>275</v>
      </c>
      <c r="B50" s="295" t="s">
        <v>357</v>
      </c>
      <c r="C50" s="297" t="s">
        <v>362</v>
      </c>
      <c r="D50" s="290" t="s">
        <v>363</v>
      </c>
    </row>
    <row r="51" spans="1:4">
      <c r="A51" s="296" t="s">
        <v>275</v>
      </c>
      <c r="B51" s="295" t="s">
        <v>364</v>
      </c>
      <c r="C51" s="297" t="s">
        <v>365</v>
      </c>
      <c r="D51" s="290" t="s">
        <v>366</v>
      </c>
    </row>
    <row r="52" spans="1:4">
      <c r="A52" s="296" t="s">
        <v>275</v>
      </c>
      <c r="B52" s="295" t="s">
        <v>297</v>
      </c>
      <c r="C52" s="297" t="s">
        <v>367</v>
      </c>
      <c r="D52" s="290" t="s">
        <v>368</v>
      </c>
    </row>
    <row r="53" spans="1:4">
      <c r="A53" s="296" t="s">
        <v>275</v>
      </c>
      <c r="B53" s="295" t="s">
        <v>369</v>
      </c>
      <c r="C53" s="297" t="s">
        <v>370</v>
      </c>
      <c r="D53" s="290" t="s">
        <v>368</v>
      </c>
    </row>
    <row r="54" spans="1:4">
      <c r="A54" s="296" t="s">
        <v>371</v>
      </c>
      <c r="B54" s="295" t="s">
        <v>372</v>
      </c>
      <c r="C54" s="297" t="s">
        <v>373</v>
      </c>
      <c r="D54" s="246" t="s">
        <v>278</v>
      </c>
    </row>
    <row r="55" spans="1:4" ht="51">
      <c r="A55" s="296" t="s">
        <v>374</v>
      </c>
      <c r="B55" s="295" t="s">
        <v>375</v>
      </c>
      <c r="C55" s="297" t="s">
        <v>376</v>
      </c>
      <c r="D55" s="298" t="s">
        <v>278</v>
      </c>
    </row>
    <row r="56" spans="1:4" ht="63.75">
      <c r="A56" s="296" t="s">
        <v>374</v>
      </c>
      <c r="B56" s="295" t="s">
        <v>377</v>
      </c>
      <c r="C56" s="297" t="s">
        <v>378</v>
      </c>
      <c r="D56" s="298" t="s">
        <v>278</v>
      </c>
    </row>
    <row r="57" spans="1:4">
      <c r="A57" s="296" t="s">
        <v>374</v>
      </c>
      <c r="B57" s="295" t="s">
        <v>784</v>
      </c>
      <c r="C57" s="297" t="s">
        <v>785</v>
      </c>
      <c r="D57" s="298" t="s">
        <v>278</v>
      </c>
    </row>
    <row r="58" spans="1:4">
      <c r="A58" s="296" t="s">
        <v>374</v>
      </c>
      <c r="B58" s="295" t="s">
        <v>364</v>
      </c>
      <c r="C58" s="297" t="s">
        <v>786</v>
      </c>
      <c r="D58" s="298" t="s">
        <v>278</v>
      </c>
    </row>
    <row r="59" spans="1:4">
      <c r="A59" s="296" t="s">
        <v>374</v>
      </c>
      <c r="B59" s="295" t="s">
        <v>787</v>
      </c>
      <c r="C59" s="297" t="s">
        <v>788</v>
      </c>
      <c r="D59" s="298" t="s">
        <v>789</v>
      </c>
    </row>
    <row r="60" spans="1:4" ht="25.5">
      <c r="A60" s="296" t="s">
        <v>374</v>
      </c>
      <c r="B60" s="295" t="s">
        <v>333</v>
      </c>
      <c r="C60" s="297" t="s">
        <v>790</v>
      </c>
      <c r="D60" s="298" t="s">
        <v>789</v>
      </c>
    </row>
    <row r="61" spans="1:4">
      <c r="A61" s="296"/>
      <c r="B61" s="295"/>
      <c r="C61" s="297"/>
      <c r="D61" s="298"/>
    </row>
  </sheetData>
  <phoneticPr fontId="248" type="noConversion"/>
  <pageMargins left="0.70866141732283472" right="0.70866141732283472" top="0.74803149606299213" bottom="0.74803149606299213" header="0.31496062992125984" footer="0.31496062992125984"/>
  <pageSetup paperSize="8" scale="86" orientation="landscape" r:id="rId1"/>
  <headerFooter>
    <oddFooter>&amp;C&amp;"Calibri"&amp;11&amp;K000000_x000D_&amp;1#&amp;"Calibri"&amp;12&amp;K008000Internal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T94"/>
  <sheetViews>
    <sheetView zoomScale="85" zoomScaleNormal="85" workbookViewId="0">
      <selection activeCell="B5" sqref="B5"/>
    </sheetView>
  </sheetViews>
  <sheetFormatPr defaultColWidth="9" defaultRowHeight="12.75"/>
  <cols>
    <col min="1" max="1" width="8.375" style="356" customWidth="1"/>
    <col min="2" max="2" width="50.125" style="366" customWidth="1"/>
    <col min="3" max="3" width="13.375" style="356" customWidth="1"/>
    <col min="4" max="4" width="10.625" style="356" bestFit="1" customWidth="1"/>
    <col min="5" max="5" width="10.875" style="356" bestFit="1" customWidth="1"/>
    <col min="6" max="8" width="9.125" style="356" customWidth="1"/>
    <col min="9" max="9" width="2.625" style="356" customWidth="1"/>
    <col min="10" max="11" width="13.75" style="356" customWidth="1"/>
    <col min="12" max="12" width="5.125" style="356" customWidth="1"/>
    <col min="13" max="15" width="9" style="356"/>
    <col min="16" max="16" width="10.5" style="356" bestFit="1" customWidth="1"/>
    <col min="17" max="16384" width="9" style="356"/>
  </cols>
  <sheetData>
    <row r="1" spans="1:20" ht="20.25">
      <c r="A1" s="350" t="s">
        <v>379</v>
      </c>
      <c r="B1" s="351"/>
      <c r="C1" s="352"/>
      <c r="D1" s="352"/>
      <c r="E1" s="352"/>
      <c r="F1" s="352"/>
      <c r="G1" s="353"/>
      <c r="H1" s="353"/>
      <c r="I1" s="354"/>
      <c r="J1" s="354"/>
      <c r="K1" s="354"/>
      <c r="L1" s="355" t="s">
        <v>235</v>
      </c>
    </row>
    <row r="2" spans="1:20" ht="20.25">
      <c r="A2" s="357" t="str">
        <f>Licensee</f>
        <v>SPT</v>
      </c>
      <c r="B2" s="358"/>
      <c r="C2" s="359"/>
      <c r="D2" s="359"/>
      <c r="E2" s="359"/>
      <c r="F2" s="359"/>
      <c r="G2" s="360"/>
      <c r="H2" s="360"/>
      <c r="I2" s="361"/>
      <c r="J2" s="361"/>
      <c r="K2" s="361"/>
      <c r="L2" s="362"/>
    </row>
    <row r="3" spans="1:20" ht="20.25">
      <c r="A3" s="359">
        <f>Reporting_Year</f>
        <v>2023</v>
      </c>
      <c r="B3" s="360" t="str">
        <f>IF(Licensee=Data!$B$79,"Only required to be completed to show Operational Performance",IF(Licensee=Data!$B$82,"not required to be completed",""))</f>
        <v/>
      </c>
      <c r="C3" s="360"/>
      <c r="D3" s="360"/>
      <c r="E3" s="360"/>
      <c r="F3" s="360"/>
      <c r="G3" s="360"/>
      <c r="H3" s="363"/>
      <c r="I3" s="364"/>
      <c r="J3" s="364"/>
      <c r="K3" s="364"/>
      <c r="L3" s="365"/>
    </row>
    <row r="4" spans="1:20" ht="12.75" customHeight="1"/>
    <row r="5" spans="1:20">
      <c r="D5" s="367" t="str">
        <f t="shared" ref="D5:H5" si="0">IF(D6&lt;=Reporting_Year,"Actuals","Forecast")</f>
        <v>Actuals</v>
      </c>
      <c r="E5" s="367" t="str">
        <f t="shared" si="0"/>
        <v>Actuals</v>
      </c>
      <c r="F5" s="367" t="str">
        <f t="shared" si="0"/>
        <v>Forecast</v>
      </c>
      <c r="G5" s="367" t="str">
        <f t="shared" si="0"/>
        <v>Forecast</v>
      </c>
      <c r="H5" s="367" t="str">
        <f t="shared" si="0"/>
        <v>Forecast</v>
      </c>
      <c r="I5" s="368"/>
      <c r="J5" s="368"/>
    </row>
    <row r="6" spans="1:20" ht="31.5" customHeight="1">
      <c r="C6" s="369"/>
      <c r="D6" s="370">
        <f>RIIO_2_start_date</f>
        <v>2022</v>
      </c>
      <c r="E6" s="370">
        <f>D6+1</f>
        <v>2023</v>
      </c>
      <c r="F6" s="370">
        <f>E6+1</f>
        <v>2024</v>
      </c>
      <c r="G6" s="370">
        <f t="shared" ref="G6:H6" si="1">F6+1</f>
        <v>2025</v>
      </c>
      <c r="H6" s="370">
        <f t="shared" si="1"/>
        <v>2026</v>
      </c>
      <c r="I6" s="371"/>
      <c r="J6" s="372" t="str">
        <f>"Cumulative to "&amp;'RFPR cover'!$C$9</f>
        <v>Cumulative to 2023</v>
      </c>
      <c r="K6" s="373" t="s">
        <v>380</v>
      </c>
    </row>
    <row r="7" spans="1:20">
      <c r="C7" s="369"/>
      <c r="D7" s="374" t="str">
        <f>RIIO_2_start_date-1&amp;"/"&amp;RIGHT(RIIO_2_start_date,2)</f>
        <v>2021/22</v>
      </c>
      <c r="E7" s="374" t="str">
        <f>RIIO_2_start_date&amp;"/"&amp;RIGHT(RIIO_2_start_date+1,2)</f>
        <v>2022/23</v>
      </c>
      <c r="F7" s="374" t="str">
        <f>RIIO_2_start_date+1&amp;"/"&amp;RIGHT(RIIO_2_start_date+2,2)</f>
        <v>2023/24</v>
      </c>
      <c r="G7" s="374" t="str">
        <f>RIIO_2_start_date+2&amp;"/"&amp;RIGHT(RIIO_2_start_date+3,2)</f>
        <v>2024/25</v>
      </c>
      <c r="H7" s="374" t="str">
        <f>RIIO_2_start_date+3&amp;"/"&amp;RIGHT(RIIO_2_start_date+4,2)</f>
        <v>2025/26</v>
      </c>
      <c r="I7" s="369"/>
      <c r="J7" s="369"/>
      <c r="K7" s="369"/>
      <c r="L7" s="369"/>
    </row>
    <row r="8" spans="1:20">
      <c r="C8" s="366"/>
      <c r="D8" s="366"/>
      <c r="E8" s="366"/>
      <c r="F8" s="366"/>
      <c r="G8" s="366"/>
      <c r="H8" s="366"/>
      <c r="I8" s="366"/>
      <c r="J8" s="366"/>
      <c r="K8" s="366"/>
      <c r="L8" s="366"/>
      <c r="M8" s="366"/>
      <c r="N8" s="366"/>
      <c r="O8" s="366"/>
      <c r="P8" s="366"/>
      <c r="Q8" s="366"/>
      <c r="R8" s="366"/>
      <c r="S8" s="366"/>
      <c r="T8" s="366"/>
    </row>
    <row r="9" spans="1:20">
      <c r="B9" s="375" t="s">
        <v>381</v>
      </c>
      <c r="C9" s="376"/>
      <c r="D9" s="376"/>
      <c r="E9" s="376"/>
      <c r="F9" s="376"/>
      <c r="G9" s="376"/>
      <c r="H9" s="376"/>
      <c r="I9" s="377"/>
      <c r="J9" s="376"/>
      <c r="K9" s="376"/>
      <c r="L9" s="376"/>
    </row>
    <row r="10" spans="1:20">
      <c r="B10" s="378"/>
      <c r="I10" s="371"/>
    </row>
    <row r="11" spans="1:20">
      <c r="B11" s="176" t="s">
        <v>382</v>
      </c>
      <c r="C11" s="175" t="s">
        <v>383</v>
      </c>
      <c r="D11" s="64">
        <f>IFERROR(Equity_Return_on_the_RAV/NPV_neutral_equity_element_of_RAV,0)</f>
        <v>4.2439449777777784E-2</v>
      </c>
      <c r="E11" s="64">
        <f>IFERROR(Equity_Return_on_the_RAV/NPV_neutral_equity_element_of_RAV,0)</f>
        <v>4.2616093333333334E-2</v>
      </c>
      <c r="F11" s="64">
        <f>IFERROR(Equity_Return_on_the_RAV/NPV_neutral_equity_element_of_RAV,0)</f>
        <v>4.909683911111111E-2</v>
      </c>
      <c r="G11" s="64">
        <f>IFERROR(Equity_Return_on_the_RAV/NPV_neutral_equity_element_of_RAV,0)</f>
        <v>4.8823256888888882E-2</v>
      </c>
      <c r="H11" s="64">
        <f>IFERROR(Equity_Return_on_the_RAV/NPV_neutral_equity_element_of_RAV,0)</f>
        <v>4.9129010666666674E-2</v>
      </c>
      <c r="I11" s="379"/>
      <c r="J11" s="65">
        <f>IFERROR(AVERAGE(D65:INDEX(D65:H65,0,MATCH('RFPR cover'!$C$9,$D$6:$H$6,0)))/AVERAGE($D$90:INDEX($D$90:$H$90,0,MATCH('RFPR cover'!$C$9,$D$6:$H$6,0))),0)</f>
        <v>4.2528222909553277E-2</v>
      </c>
      <c r="K11" s="65">
        <f t="shared" ref="K11:K21" si="2">IFERROR(AVERAGE(D65:H65)/AVERAGE($D$90:$H$90),0)</f>
        <v>4.670785489518451E-2</v>
      </c>
    </row>
    <row r="12" spans="1:20">
      <c r="B12" s="176" t="str">
        <f t="shared" ref="B12:B18" si="3">B66</f>
        <v>Totex outperformance</v>
      </c>
      <c r="C12" s="175" t="s">
        <v>383</v>
      </c>
      <c r="D12" s="64">
        <f>IFERROR(Totex_outperformance/NPV_neutral_equity_element_of_RAV,0)</f>
        <v>0</v>
      </c>
      <c r="E12" s="64">
        <f>IFERROR(Totex_outperformance/NPV_neutral_equity_element_of_RAV,0)</f>
        <v>0</v>
      </c>
      <c r="F12" s="64">
        <f>IFERROR(Totex_outperformance/NPV_neutral_equity_element_of_RAV,0)</f>
        <v>0</v>
      </c>
      <c r="G12" s="64">
        <f>IFERROR(Totex_outperformance/NPV_neutral_equity_element_of_RAV,0)</f>
        <v>0</v>
      </c>
      <c r="H12" s="64">
        <f>IFERROR(Totex_outperformance/NPV_neutral_equity_element_of_RAV,0)</f>
        <v>0</v>
      </c>
      <c r="I12" s="379"/>
      <c r="J12" s="65">
        <f>IFERROR(AVERAGE(D66:INDEX(D66:H66,0,MATCH('RFPR cover'!$C$9,$D$6:$H$6,0)))/AVERAGE($D$90:INDEX($D$90:$H$90,0,MATCH('RFPR cover'!$C$9,$D$6:$H$6,0))),0)</f>
        <v>0</v>
      </c>
      <c r="K12" s="65">
        <f t="shared" si="2"/>
        <v>0</v>
      </c>
      <c r="M12" s="379"/>
    </row>
    <row r="13" spans="1:20">
      <c r="A13" s="380" t="s">
        <v>384</v>
      </c>
      <c r="B13" s="176" t="str">
        <f t="shared" si="3"/>
        <v>Business Plan Incentive</v>
      </c>
      <c r="C13" s="175" t="s">
        <v>383</v>
      </c>
      <c r="D13" s="64">
        <f>IFERROR(Business_Plan_Incentive/NPV_neutral_equity_element_of_RAV,0)</f>
        <v>9.2828753622902264E-4</v>
      </c>
      <c r="E13" s="64">
        <f>IFERROR(Business_Plan_Incentive/NPV_neutral_equity_element_of_RAV,0)</f>
        <v>9.1884805195888316E-4</v>
      </c>
      <c r="F13" s="64">
        <f>IFERROR(Business_Plan_Incentive/NPV_neutral_equity_element_of_RAV,0)</f>
        <v>8.6614484591286721E-4</v>
      </c>
      <c r="G13" s="64">
        <f>IFERROR(Business_Plan_Incentive/NPV_neutral_equity_element_of_RAV,0)</f>
        <v>7.7576282690598958E-4</v>
      </c>
      <c r="H13" s="64">
        <f>IFERROR(Business_Plan_Incentive/NPV_neutral_equity_element_of_RAV,0)</f>
        <v>6.7890904882428956E-4</v>
      </c>
      <c r="I13" s="379"/>
      <c r="J13" s="65">
        <f>IFERROR(AVERAGE(D67:INDEX(D67:H67,0,MATCH('RFPR cover'!$C$9,$D$6:$H$6,0)))/AVERAGE($D$90:INDEX($D$90:$H$90,0,MATCH('RFPR cover'!$C$9,$D$6:$H$6,0))),0)</f>
        <v>9.2354367462382423E-4</v>
      </c>
      <c r="K13" s="65">
        <f t="shared" si="2"/>
        <v>8.2208203373327748E-4</v>
      </c>
    </row>
    <row r="14" spans="1:20">
      <c r="A14" s="380" t="s">
        <v>385</v>
      </c>
      <c r="B14" s="176" t="str">
        <f t="shared" si="3"/>
        <v>Energy not supplied ODI - (SpC 4.2)</v>
      </c>
      <c r="C14" s="175" t="s">
        <v>383</v>
      </c>
      <c r="D14" s="64">
        <f>IFERROR(ODI_1/NPV_neutral_equity_element_of_RAV,0)</f>
        <v>1.2409532706613093E-3</v>
      </c>
      <c r="E14" s="64">
        <f>IFERROR(ODI_1/NPV_neutral_equity_element_of_RAV,0)</f>
        <v>1.229611284072676E-3</v>
      </c>
      <c r="F14" s="64">
        <f>IFERROR(ODI_1/NPV_neutral_equity_element_of_RAV,0)</f>
        <v>9.9458267266230296E-4</v>
      </c>
      <c r="G14" s="64">
        <f>IFERROR(ODI_1/NPV_neutral_equity_element_of_RAV,0)</f>
        <v>8.9079819544852481E-4</v>
      </c>
      <c r="H14" s="64">
        <f>IFERROR(ODI_1/NPV_neutral_equity_element_of_RAV,0)</f>
        <v>7.7958228287167001E-4</v>
      </c>
      <c r="I14" s="379"/>
      <c r="J14" s="65">
        <f>IFERROR(AVERAGE(D68:INDEX(D68:H68,0,MATCH('RFPR cover'!$C$9,$D$6:$H$6,0)))/AVERAGE($D$90:INDEX($D$90:$H$90,0,MATCH('RFPR cover'!$C$9,$D$6:$H$6,0))),0)</f>
        <v>1.2352532966834198E-3</v>
      </c>
      <c r="K14" s="65">
        <f t="shared" si="2"/>
        <v>1.0062102986250288E-3</v>
      </c>
    </row>
    <row r="15" spans="1:20">
      <c r="A15" s="380" t="s">
        <v>386</v>
      </c>
      <c r="B15" s="176" t="str">
        <f t="shared" si="3"/>
        <v>Insulation And Interruption Gas emissions ODI - (SpC 4.3)</v>
      </c>
      <c r="C15" s="175" t="s">
        <v>383</v>
      </c>
      <c r="D15" s="64">
        <f>IFERROR(ODI_2/NPV_neutral_equity_element_of_RAV,0)</f>
        <v>1.0466484863144569E-3</v>
      </c>
      <c r="E15" s="64">
        <f>IFERROR(ODI_2/NPV_neutral_equity_element_of_RAV,0)</f>
        <v>1.0897327091191037E-3</v>
      </c>
      <c r="F15" s="64">
        <f>IFERROR(ODI_2/NPV_neutral_equity_element_of_RAV,0)</f>
        <v>1.2054555590132916E-3</v>
      </c>
      <c r="G15" s="64">
        <f>IFERROR(ODI_2/NPV_neutral_equity_element_of_RAV,0)</f>
        <v>1.0937104097583678E-3</v>
      </c>
      <c r="H15" s="64">
        <f>IFERROR(ODI_2/NPV_neutral_equity_element_of_RAV,0)</f>
        <v>9.092585346559182E-4</v>
      </c>
      <c r="I15" s="379"/>
      <c r="J15" s="65">
        <f>IFERROR(AVERAGE(D69:INDEX(D69:H69,0,MATCH('RFPR cover'!$C$9,$D$6:$H$6,0)))/AVERAGE($D$90:INDEX($D$90:$H$90,0,MATCH('RFPR cover'!$C$9,$D$6:$H$6,0))),0)</f>
        <v>1.0683006851532565E-3</v>
      </c>
      <c r="K15" s="65">
        <f t="shared" si="2"/>
        <v>1.061205150115128E-3</v>
      </c>
    </row>
    <row r="16" spans="1:20">
      <c r="A16" s="380" t="s">
        <v>387</v>
      </c>
      <c r="B16" s="176" t="str">
        <f t="shared" si="3"/>
        <v>Timely Connections ODI - (SpC 4.4)</v>
      </c>
      <c r="C16" s="175" t="s">
        <v>383</v>
      </c>
      <c r="D16" s="64">
        <f>IFERROR(ODI_3/NPV_neutral_equity_element_of_RAV,0)</f>
        <v>0</v>
      </c>
      <c r="E16" s="64">
        <f>IFERROR(ODI_3/NPV_neutral_equity_element_of_RAV,0)</f>
        <v>-1.3803699045409706E-5</v>
      </c>
      <c r="F16" s="64">
        <f>IFERROR(ODI_3/NPV_neutral_equity_element_of_RAV,0)</f>
        <v>0</v>
      </c>
      <c r="G16" s="64">
        <f>IFERROR(ODI_3/NPV_neutral_equity_element_of_RAV,0)</f>
        <v>0</v>
      </c>
      <c r="H16" s="64">
        <f>IFERROR(ODI_3/NPV_neutral_equity_element_of_RAV,0)</f>
        <v>0</v>
      </c>
      <c r="I16" s="379"/>
      <c r="J16" s="65">
        <f>IFERROR(AVERAGE(D70:INDEX(D70:H70,0,MATCH('RFPR cover'!$C$9,$D$6:$H$6,0)))/AVERAGE($D$90:INDEX($D$90:$H$90,0,MATCH('RFPR cover'!$C$9,$D$6:$H$6,0))),0)</f>
        <v>-6.9371202956903696E-6</v>
      </c>
      <c r="K16" s="65">
        <f t="shared" si="2"/>
        <v>-2.4699999004406241E-6</v>
      </c>
    </row>
    <row r="17" spans="1:11">
      <c r="A17" s="380" t="s">
        <v>388</v>
      </c>
      <c r="B17" s="176" t="str">
        <f t="shared" si="3"/>
        <v>Quality of connections satisfaction survey ODI - (SpC 4.5)</v>
      </c>
      <c r="C17" s="175" t="s">
        <v>383</v>
      </c>
      <c r="D17" s="64">
        <f>IFERROR(ODI_4/NPV_neutral_equity_element_of_RAV,0)</f>
        <v>3.5286972634599508E-4</v>
      </c>
      <c r="E17" s="64">
        <f>IFERROR(ODI_4/NPV_neutral_equity_element_of_RAV,0)</f>
        <v>6.11799661262623E-4</v>
      </c>
      <c r="F17" s="64">
        <f>IFERROR(ODI_4/NPV_neutral_equity_element_of_RAV,0)</f>
        <v>1.0302459809500499E-3</v>
      </c>
      <c r="G17" s="64">
        <f>IFERROR(ODI_4/NPV_neutral_equity_element_of_RAV,0)</f>
        <v>1.0896185644530712E-3</v>
      </c>
      <c r="H17" s="64">
        <f>IFERROR(ODI_4/NPV_neutral_equity_element_of_RAV,0)</f>
        <v>1.0996237640034034E-3</v>
      </c>
      <c r="I17" s="379"/>
      <c r="J17" s="65">
        <f>IFERROR(AVERAGE(D71:INDEX(D71:H71,0,MATCH('RFPR cover'!$C$9,$D$6:$H$6,0)))/AVERAGE($D$90:INDEX($D$90:$H$90,0,MATCH('RFPR cover'!$C$9,$D$6:$H$6,0))),0)</f>
        <v>4.8299630334270569E-4</v>
      </c>
      <c r="K17" s="65">
        <f t="shared" si="2"/>
        <v>8.6477996688509226E-4</v>
      </c>
    </row>
    <row r="18" spans="1:11">
      <c r="A18" s="380" t="s">
        <v>389</v>
      </c>
      <c r="B18" s="176" t="str">
        <f t="shared" si="3"/>
        <v>SO-TO Optimisation ODI - (SpC 4.7)</v>
      </c>
      <c r="C18" s="175" t="s">
        <v>383</v>
      </c>
      <c r="D18" s="64">
        <f>IFERROR(ODI_5/NPV_neutral_equity_element_of_RAV,0)</f>
        <v>3.6982975443364263E-4</v>
      </c>
      <c r="E18" s="64">
        <f>IFERROR(ODI_5/NPV_neutral_equity_element_of_RAV,0)</f>
        <v>1.9203924285940656E-3</v>
      </c>
      <c r="F18" s="64">
        <f>IFERROR(ODI_5/NPV_neutral_equity_element_of_RAV,0)</f>
        <v>0</v>
      </c>
      <c r="G18" s="64">
        <f>IFERROR(ODI_5/NPV_neutral_equity_element_of_RAV,0)</f>
        <v>0</v>
      </c>
      <c r="H18" s="64">
        <f>IFERROR(ODI_5/NPV_neutral_equity_element_of_RAV,0)</f>
        <v>0</v>
      </c>
      <c r="I18" s="379"/>
      <c r="J18" s="65">
        <f>IFERROR(AVERAGE(D72:INDEX(D72:H72,0,MATCH('RFPR cover'!$C$9,$D$6:$H$6,0)))/AVERAGE($D$90:INDEX($D$90:$H$90,0,MATCH('RFPR cover'!$C$9,$D$6:$H$6,0))),0)</f>
        <v>1.1490730399669621E-3</v>
      </c>
      <c r="K18" s="65">
        <f t="shared" si="2"/>
        <v>4.0913378654837754E-4</v>
      </c>
    </row>
    <row r="19" spans="1:11">
      <c r="A19" s="380" t="s">
        <v>390</v>
      </c>
      <c r="B19" s="176" t="str">
        <f>B73</f>
        <v>Environmental scorecard ODI - (SpC 4.6)</v>
      </c>
      <c r="C19" s="175" t="s">
        <v>383</v>
      </c>
      <c r="D19" s="64">
        <f>IFERROR(ODI_6/NPV_neutral_equity_element_of_RAV,0)</f>
        <v>0</v>
      </c>
      <c r="E19" s="64">
        <f>IFERROR(ODI_6/NPV_neutral_equity_element_of_RAV,0)</f>
        <v>0</v>
      </c>
      <c r="F19" s="64">
        <f>IFERROR(ODI_6/NPV_neutral_equity_element_of_RAV,0)</f>
        <v>0</v>
      </c>
      <c r="G19" s="64">
        <f>IFERROR(ODI_6/NPV_neutral_equity_element_of_RAV,0)</f>
        <v>0</v>
      </c>
      <c r="H19" s="64">
        <f>IFERROR(ODI_6/NPV_neutral_equity_element_of_RAV,0)</f>
        <v>0</v>
      </c>
      <c r="I19" s="379"/>
      <c r="J19" s="65">
        <f>IFERROR(AVERAGE(D73:INDEX(D73:H73,0,MATCH('RFPR cover'!$C$9,$D$6:$H$6,0)))/AVERAGE($D$90:INDEX($D$90:$H$90,0,MATCH('RFPR cover'!$C$9,$D$6:$H$6,0))),0)</f>
        <v>0</v>
      </c>
      <c r="K19" s="65">
        <f t="shared" si="2"/>
        <v>0</v>
      </c>
    </row>
    <row r="20" spans="1:11">
      <c r="A20" s="380" t="s">
        <v>391</v>
      </c>
      <c r="B20" s="176" t="str">
        <f t="shared" ref="B20" si="4">B74</f>
        <v>Network innovation input for RORE</v>
      </c>
      <c r="C20" s="175" t="s">
        <v>383</v>
      </c>
      <c r="D20" s="64">
        <f>IFERROR(ORA_1/NPV_neutral_equity_element_of_RAV,0)</f>
        <v>-1.0854682886172496E-4</v>
      </c>
      <c r="E20" s="64">
        <f>IFERROR(ORA_1/NPV_neutral_equity_element_of_RAV,0)</f>
        <v>-8.3523491909889036E-5</v>
      </c>
      <c r="F20" s="64">
        <f>IFERROR(ORA_1/NPV_neutral_equity_element_of_RAV,0)</f>
        <v>-3.289374915104484E-4</v>
      </c>
      <c r="G20" s="64">
        <f>IFERROR(ORA_1/NPV_neutral_equity_element_of_RAV,0)</f>
        <v>-3.4371509500892155E-4</v>
      </c>
      <c r="H20" s="64">
        <f>IFERROR(ORA_1/NPV_neutral_equity_element_of_RAV,0)</f>
        <v>-3.1863121777068754E-4</v>
      </c>
      <c r="I20" s="379"/>
      <c r="J20" s="65">
        <f>IFERROR(AVERAGE(D74:INDEX(D74:H74,0,MATCH('RFPR cover'!$C$9,$D$6:$H$6,0)))/AVERAGE($D$90:INDEX($D$90:$H$90,0,MATCH('RFPR cover'!$C$9,$D$6:$H$6,0))),0)</f>
        <v>-9.5971221550711797E-5</v>
      </c>
      <c r="K20" s="65">
        <f t="shared" si="2"/>
        <v>-2.4662461011998326E-4</v>
      </c>
    </row>
    <row r="21" spans="1:11">
      <c r="A21" s="380" t="s">
        <v>392</v>
      </c>
      <c r="B21" s="176" t="str">
        <f t="shared" ref="B21" si="5">B75</f>
        <v>Carry-over Network innovation input for RORE</v>
      </c>
      <c r="C21" s="175" t="s">
        <v>383</v>
      </c>
      <c r="D21" s="64">
        <f>IFERROR(ORA_2/NPV_neutral_equity_element_of_RAV,0)</f>
        <v>-1.8182478248910705E-5</v>
      </c>
      <c r="E21" s="64">
        <f>IFERROR(ORA_2/NPV_neutral_equity_element_of_RAV,0)</f>
        <v>0</v>
      </c>
      <c r="F21" s="64">
        <f>IFERROR(ORA_2/NPV_neutral_equity_element_of_RAV,0)</f>
        <v>0</v>
      </c>
      <c r="G21" s="64">
        <f>IFERROR(ORA_2/NPV_neutral_equity_element_of_RAV,0)</f>
        <v>0</v>
      </c>
      <c r="H21" s="64">
        <f>IFERROR(ORA_2/NPV_neutral_equity_element_of_RAV,0)</f>
        <v>0</v>
      </c>
      <c r="I21" s="379"/>
      <c r="J21" s="65">
        <f>IFERROR(AVERAGE(D75:INDEX(D75:H75,0,MATCH('RFPR cover'!$C$9,$D$6:$H$6,0)))/AVERAGE($D$90:INDEX($D$90:$H$90,0,MATCH('RFPR cover'!$C$9,$D$6:$H$6,0))),0)</f>
        <v>-9.0447798340490852E-6</v>
      </c>
      <c r="K21" s="65">
        <f t="shared" si="2"/>
        <v>-3.220443690948754E-6</v>
      </c>
    </row>
    <row r="22" spans="1:11">
      <c r="A22" s="380" t="s">
        <v>393</v>
      </c>
      <c r="B22" s="176" t="str">
        <f t="shared" ref="B22:B27" si="6">B76</f>
        <v>Strategic innovation input for RORE</v>
      </c>
      <c r="C22" s="175" t="s">
        <v>383</v>
      </c>
      <c r="D22" s="64">
        <f>IFERROR(ORA_3/NPV_neutral_equity_element_of_RAV,0)</f>
        <v>0</v>
      </c>
      <c r="E22" s="64">
        <f>IFERROR(ORA_3/NPV_neutral_equity_element_of_RAV,0)</f>
        <v>-7.3716383600625965E-5</v>
      </c>
      <c r="F22" s="64">
        <f>IFERROR(ORA_3/NPV_neutral_equity_element_of_RAV,0)</f>
        <v>-6.270672262456463E-6</v>
      </c>
      <c r="G22" s="64">
        <f>IFERROR(ORA_3/NPV_neutral_equity_element_of_RAV,0)</f>
        <v>0</v>
      </c>
      <c r="H22" s="64">
        <f>IFERROR(ORA_3/NPV_neutral_equity_element_of_RAV,0)</f>
        <v>0</v>
      </c>
      <c r="I22" s="379"/>
      <c r="J22" s="65">
        <f>IFERROR(AVERAGE(D76:INDEX(D76:H76,0,MATCH('RFPR cover'!$C$9,$D$6:$H$6,0)))/AVERAGE($D$90:INDEX($D$90:$H$90,0,MATCH('RFPR cover'!$C$9,$D$6:$H$6,0))),0)</f>
        <v>-3.7046549560268316E-5</v>
      </c>
      <c r="K22" s="65">
        <f>IFERROR(AVERAGE(D76:H76)/AVERAGE($D$90:$H$90),0)</f>
        <v>-1.4380961776502931E-5</v>
      </c>
    </row>
    <row r="23" spans="1:11">
      <c r="A23" s="380" t="s">
        <v>394</v>
      </c>
      <c r="B23" s="176" t="str">
        <f t="shared" si="6"/>
        <v/>
      </c>
      <c r="C23" s="175" t="s">
        <v>383</v>
      </c>
      <c r="D23" s="64">
        <f>IFERROR(ORA_4/NPV_neutral_equity_element_of_RAV,0)</f>
        <v>0</v>
      </c>
      <c r="E23" s="64">
        <f>IFERROR(ORA_4/NPV_neutral_equity_element_of_RAV,0)</f>
        <v>0</v>
      </c>
      <c r="F23" s="64">
        <f>IFERROR(ORA_4/NPV_neutral_equity_element_of_RAV,0)</f>
        <v>0</v>
      </c>
      <c r="G23" s="64">
        <f>IFERROR(ORA_4/NPV_neutral_equity_element_of_RAV,0)</f>
        <v>0</v>
      </c>
      <c r="H23" s="64">
        <f>IFERROR(ORA_4/NPV_neutral_equity_element_of_RAV,0)</f>
        <v>0</v>
      </c>
      <c r="I23" s="379"/>
      <c r="J23" s="65">
        <f>IFERROR(AVERAGE(D77:INDEX(D77:H77,0,MATCH('RFPR cover'!$C$9,$D$6:$H$6,0)))/AVERAGE($D$90:INDEX($D$90:$H$90,0,MATCH('RFPR cover'!$C$9,$D$6:$H$6,0))),0)</f>
        <v>0</v>
      </c>
      <c r="K23" s="65">
        <f t="shared" ref="K23:K28" si="7">IFERROR(AVERAGE(D77:H77)/AVERAGE($D$90:$H$90),0)</f>
        <v>0</v>
      </c>
    </row>
    <row r="24" spans="1:11">
      <c r="A24" s="380" t="s">
        <v>395</v>
      </c>
      <c r="B24" s="176" t="str">
        <f t="shared" si="6"/>
        <v/>
      </c>
      <c r="C24" s="175" t="s">
        <v>383</v>
      </c>
      <c r="D24" s="64">
        <f>IFERROR(ORA_5/NPV_neutral_equity_element_of_RAV,0)</f>
        <v>0</v>
      </c>
      <c r="E24" s="64">
        <f>IFERROR(ORA_5/NPV_neutral_equity_element_of_RAV,0)</f>
        <v>0</v>
      </c>
      <c r="F24" s="64">
        <f>IFERROR(ORA_5/NPV_neutral_equity_element_of_RAV,0)</f>
        <v>0</v>
      </c>
      <c r="G24" s="64">
        <f>IFERROR(ORA_5/NPV_neutral_equity_element_of_RAV,0)</f>
        <v>0</v>
      </c>
      <c r="H24" s="64">
        <f>IFERROR(ORA_5/NPV_neutral_equity_element_of_RAV,0)</f>
        <v>0</v>
      </c>
      <c r="I24" s="379"/>
      <c r="J24" s="65">
        <f>IFERROR(AVERAGE(D78:INDEX(D78:H78,0,MATCH('RFPR cover'!$C$9,$D$6:$H$6,0)))/AVERAGE($D$90:INDEX($D$90:$H$90,0,MATCH('RFPR cover'!$C$9,$D$6:$H$6,0))),0)</f>
        <v>0</v>
      </c>
      <c r="K24" s="65">
        <f t="shared" si="7"/>
        <v>0</v>
      </c>
    </row>
    <row r="25" spans="1:11">
      <c r="A25" s="380" t="s">
        <v>396</v>
      </c>
      <c r="B25" s="176" t="str">
        <f t="shared" si="6"/>
        <v/>
      </c>
      <c r="C25" s="175" t="s">
        <v>383</v>
      </c>
      <c r="D25" s="64">
        <f>IFERROR(ORA_6/NPV_neutral_equity_element_of_RAV,0)</f>
        <v>0</v>
      </c>
      <c r="E25" s="64">
        <f>IFERROR(ORA_6/NPV_neutral_equity_element_of_RAV,0)</f>
        <v>0</v>
      </c>
      <c r="F25" s="64">
        <f>IFERROR(ORA_6/NPV_neutral_equity_element_of_RAV,0)</f>
        <v>0</v>
      </c>
      <c r="G25" s="64">
        <f>IFERROR(ORA_6/NPV_neutral_equity_element_of_RAV,0)</f>
        <v>0</v>
      </c>
      <c r="H25" s="64">
        <f>IFERROR(ORA_6/NPV_neutral_equity_element_of_RAV,0)</f>
        <v>0</v>
      </c>
      <c r="I25" s="379"/>
      <c r="J25" s="65">
        <f>IFERROR(AVERAGE(D79:INDEX(D79:H79,0,MATCH('RFPR cover'!$C$9,$D$6:$H$6,0)))/AVERAGE($D$90:INDEX($D$90:$H$90,0,MATCH('RFPR cover'!$C$9,$D$6:$H$6,0))),0)</f>
        <v>0</v>
      </c>
      <c r="K25" s="65">
        <f t="shared" si="7"/>
        <v>0</v>
      </c>
    </row>
    <row r="26" spans="1:11">
      <c r="A26" s="380" t="s">
        <v>397</v>
      </c>
      <c r="B26" s="176" t="str">
        <f t="shared" si="6"/>
        <v/>
      </c>
      <c r="C26" s="175" t="s">
        <v>383</v>
      </c>
      <c r="D26" s="64">
        <f>IFERROR(ORA_7/NPV_neutral_equity_element_of_RAV,0)</f>
        <v>0</v>
      </c>
      <c r="E26" s="64">
        <f>IFERROR(ORA_7/NPV_neutral_equity_element_of_RAV,0)</f>
        <v>0</v>
      </c>
      <c r="F26" s="64">
        <f>IFERROR(ORA_7/NPV_neutral_equity_element_of_RAV,0)</f>
        <v>0</v>
      </c>
      <c r="G26" s="64">
        <f>IFERROR(ORA_7/NPV_neutral_equity_element_of_RAV,0)</f>
        <v>0</v>
      </c>
      <c r="H26" s="64">
        <f>IFERROR(ORA_7/NPV_neutral_equity_element_of_RAV,0)</f>
        <v>0</v>
      </c>
      <c r="I26" s="379"/>
      <c r="J26" s="65">
        <f>IFERROR(AVERAGE(D80:INDEX(D80:H80,0,MATCH('RFPR cover'!$C$9,$D$6:$H$6,0)))/AVERAGE($D$90:INDEX($D$90:$H$90,0,MATCH('RFPR cover'!$C$9,$D$6:$H$6,0))),0)</f>
        <v>0</v>
      </c>
      <c r="K26" s="65">
        <f t="shared" si="7"/>
        <v>0</v>
      </c>
    </row>
    <row r="27" spans="1:11">
      <c r="A27" s="380" t="s">
        <v>398</v>
      </c>
      <c r="B27" s="176" t="str">
        <f t="shared" si="6"/>
        <v/>
      </c>
      <c r="C27" s="175" t="s">
        <v>383</v>
      </c>
      <c r="D27" s="64">
        <f>IFERROR(ORA_8/NPV_neutral_equity_element_of_RAV,0)</f>
        <v>0</v>
      </c>
      <c r="E27" s="64">
        <f>IFERROR(ORA_8/NPV_neutral_equity_element_of_RAV,0)</f>
        <v>0</v>
      </c>
      <c r="F27" s="64">
        <f>IFERROR(ORA_8/NPV_neutral_equity_element_of_RAV,0)</f>
        <v>0</v>
      </c>
      <c r="G27" s="64">
        <f>IFERROR(ORA_8/NPV_neutral_equity_element_of_RAV,0)</f>
        <v>0</v>
      </c>
      <c r="H27" s="64">
        <f>IFERROR(ORA_8/NPV_neutral_equity_element_of_RAV,0)</f>
        <v>0</v>
      </c>
      <c r="I27" s="379"/>
      <c r="J27" s="65">
        <f>IFERROR(AVERAGE(D81:INDEX(D81:H81,0,MATCH('RFPR cover'!$C$9,$D$6:$H$6,0)))/AVERAGE($D$90:INDEX($D$90:$H$90,0,MATCH('RFPR cover'!$C$9,$D$6:$H$6,0))),0)</f>
        <v>0</v>
      </c>
      <c r="K27" s="65">
        <f t="shared" si="7"/>
        <v>0</v>
      </c>
    </row>
    <row r="28" spans="1:11" ht="13.5" thickBot="1">
      <c r="B28" s="176" t="str">
        <f t="shared" ref="B28:B30" si="8">B82</f>
        <v>Penalties and fines (Other Activities)</v>
      </c>
      <c r="C28" s="175" t="s">
        <v>383</v>
      </c>
      <c r="D28" s="381">
        <f>IFERROR(Penalties_and_fines/NPV_neutral_equity_element_of_RAV,0)</f>
        <v>0</v>
      </c>
      <c r="E28" s="381">
        <f>IFERROR(Penalties_and_fines/NPV_neutral_equity_element_of_RAV,0)</f>
        <v>0</v>
      </c>
      <c r="F28" s="381">
        <f>IFERROR(Penalties_and_fines/NPV_neutral_equity_element_of_RAV,0)</f>
        <v>0</v>
      </c>
      <c r="G28" s="381">
        <f>IFERROR(Penalties_and_fines/NPV_neutral_equity_element_of_RAV,0)</f>
        <v>0</v>
      </c>
      <c r="H28" s="381">
        <f>IFERROR(Penalties_and_fines/NPV_neutral_equity_element_of_RAV,0)</f>
        <v>0</v>
      </c>
      <c r="I28" s="379"/>
      <c r="J28" s="65">
        <f>IFERROR(AVERAGE(D82:INDEX(D82:H82,0,MATCH('RFPR cover'!$C$9,$D$6:$H$6,0)))/AVERAGE($D$90:INDEX($D$90:$H$90,0,MATCH('RFPR cover'!$C$9,$D$6:$H$6,0))),0)</f>
        <v>0</v>
      </c>
      <c r="K28" s="65">
        <f t="shared" si="7"/>
        <v>0</v>
      </c>
    </row>
    <row r="29" spans="1:11" ht="13.5" thickBot="1">
      <c r="B29" s="177" t="str">
        <f t="shared" si="8"/>
        <v>RoRE - Operational performance</v>
      </c>
      <c r="C29" s="62" t="s">
        <v>383</v>
      </c>
      <c r="D29" s="164">
        <f>SUM(D11:D28)</f>
        <v>4.6251309244651574E-2</v>
      </c>
      <c r="E29" s="165">
        <f t="shared" ref="E29:H29" si="9">SUM(E11:E28)</f>
        <v>4.8215433893784757E-2</v>
      </c>
      <c r="F29" s="165">
        <f t="shared" si="9"/>
        <v>5.2858060005876714E-2</v>
      </c>
      <c r="G29" s="165">
        <f t="shared" si="9"/>
        <v>5.2329431790445913E-2</v>
      </c>
      <c r="H29" s="166">
        <f t="shared" si="9"/>
        <v>5.2277753079251268E-2</v>
      </c>
      <c r="I29" s="382"/>
      <c r="J29" s="168">
        <f>SUM(J11:J28)</f>
        <v>4.7238390238082718E-2</v>
      </c>
      <c r="K29" s="166">
        <f>SUM(K11:K28)</f>
        <v>5.0604570115603535E-2</v>
      </c>
    </row>
    <row r="30" spans="1:11">
      <c r="B30" s="176" t="str">
        <f t="shared" si="8"/>
        <v>Debt performance - at notional gearing</v>
      </c>
      <c r="C30" s="175" t="s">
        <v>383</v>
      </c>
      <c r="D30" s="383">
        <f>IFERROR(Debt_performance___at_notional_gearing/NPV_neutral_equity_element_of_RAV,0)</f>
        <v>5.5689739357130598E-2</v>
      </c>
      <c r="E30" s="383">
        <f>IFERROR(Debt_performance___at_notional_gearing/NPV_neutral_equity_element_of_RAV,0)</f>
        <v>9.4639545321294691E-2</v>
      </c>
      <c r="F30" s="383">
        <f>IFERROR(Debt_performance___at_notional_gearing/NPV_neutral_equity_element_of_RAV,0)</f>
        <v>3.1564108284750661E-2</v>
      </c>
      <c r="G30" s="383">
        <f>IFERROR(Debt_performance___at_notional_gearing/NPV_neutral_equity_element_of_RAV,0)</f>
        <v>-2.267539656160714E-2</v>
      </c>
      <c r="H30" s="383">
        <f>IFERROR(Debt_performance___at_notional_gearing/NPV_neutral_equity_element_of_RAV,0)</f>
        <v>-2.3276327146454279E-2</v>
      </c>
      <c r="I30" s="379"/>
      <c r="J30" s="167">
        <f>IFERROR(AVERAGE(D84:INDEX(D84:H84,0,MATCH('RFPR cover'!$C$9,$D$6:$H$6,0)))/AVERAGE($D$90:INDEX($D$90:$H$90,0,MATCH('RFPR cover'!$C$9,$D$6:$H$6,0))),0)</f>
        <v>7.5264165645210018E-2</v>
      </c>
      <c r="K30" s="167">
        <f>IFERROR(AVERAGE(D84:H84)/AVERAGE($D$90:$H$90),0)</f>
        <v>2.2347035259158411E-2</v>
      </c>
    </row>
    <row r="31" spans="1:11" ht="13.5" thickBot="1">
      <c r="B31" s="176" t="str">
        <f>B86</f>
        <v>Tax performance - at notional gearing</v>
      </c>
      <c r="C31" s="175" t="s">
        <v>383</v>
      </c>
      <c r="D31" s="381">
        <f>IFERROR(Tax_performance___at_notional_gearing/NPV_neutral_equity_element_of_RAV,0)</f>
        <v>-9.9323339420492266E-4</v>
      </c>
      <c r="E31" s="381">
        <f>IFERROR(Tax_performance___at_notional_gearing/NPV_neutral_equity_element_of_RAV,0)</f>
        <v>4.0899285672964169E-3</v>
      </c>
      <c r="F31" s="381">
        <f>IFERROR(Tax_performance___at_notional_gearing/NPV_neutral_equity_element_of_RAV,0)</f>
        <v>1.1574653904868719E-3</v>
      </c>
      <c r="G31" s="381">
        <f>IFERROR(Tax_performance___at_notional_gearing/NPV_neutral_equity_element_of_RAV,0)</f>
        <v>-2.6721763894922528E-4</v>
      </c>
      <c r="H31" s="381">
        <f>IFERROR(Tax_performance___at_notional_gearing/NPV_neutral_equity_element_of_RAV,0)</f>
        <v>6.9218141402738252E-4</v>
      </c>
      <c r="I31" s="379"/>
      <c r="J31" s="33">
        <f>IFERROR(AVERAGE(D86:INDEX(D86:H86,0,MATCH('RFPR cover'!$C$9,$D$6:$H$6,0)))/AVERAGE($D$90:INDEX($D$90:$H$90,0,MATCH('RFPR cover'!$C$9,$D$6:$H$6,0))),0)</f>
        <v>1.5613359203976321E-3</v>
      </c>
      <c r="K31" s="33">
        <f>IFERROR(AVERAGE(D86:H86)/AVERAGE($D$90:$H$90),0)</f>
        <v>8.8663488276689991E-4</v>
      </c>
    </row>
    <row r="32" spans="1:11" ht="13.5" thickBot="1">
      <c r="B32" s="177" t="str">
        <f>B88</f>
        <v>RoRE - including financing and tax</v>
      </c>
      <c r="C32" s="62" t="s">
        <v>383</v>
      </c>
      <c r="D32" s="164">
        <f>SUM(D29:D31)</f>
        <v>0.10094781520757724</v>
      </c>
      <c r="E32" s="165">
        <f t="shared" ref="E32:H32" si="10">SUM(E29:E31)</f>
        <v>0.14694490778237587</v>
      </c>
      <c r="F32" s="165">
        <f t="shared" si="10"/>
        <v>8.5579633681114251E-2</v>
      </c>
      <c r="G32" s="165">
        <f t="shared" si="10"/>
        <v>2.938681758988955E-2</v>
      </c>
      <c r="H32" s="166">
        <f t="shared" si="10"/>
        <v>2.9693607346824372E-2</v>
      </c>
      <c r="I32" s="382"/>
      <c r="J32" s="168">
        <f>SUM(J29:J31)</f>
        <v>0.12406389180369036</v>
      </c>
      <c r="K32" s="166">
        <f>SUM(K29:K31)</f>
        <v>7.3838240257528845E-2</v>
      </c>
    </row>
    <row r="36" spans="1:13">
      <c r="B36" s="375" t="s">
        <v>399</v>
      </c>
      <c r="C36" s="376"/>
      <c r="D36" s="376"/>
      <c r="E36" s="376"/>
      <c r="F36" s="376"/>
      <c r="G36" s="376"/>
      <c r="H36" s="376"/>
      <c r="I36" s="377"/>
      <c r="J36" s="376"/>
      <c r="K36" s="376"/>
      <c r="L36" s="376"/>
    </row>
    <row r="37" spans="1:13">
      <c r="B37" s="378"/>
      <c r="I37" s="371"/>
    </row>
    <row r="38" spans="1:13">
      <c r="B38" s="176" t="s">
        <v>382</v>
      </c>
      <c r="C38" s="175" t="s">
        <v>383</v>
      </c>
      <c r="D38" s="64">
        <f>IFERROR(Equity_Return_on_the_RAV/Equity_RAV_based_on_actual_gearing,0)</f>
        <v>4.1835225348350762E-2</v>
      </c>
      <c r="E38" s="64">
        <f>IFERROR(Equity_Return_on_the_RAV/Equity_RAV_based_on_actual_gearing,0)</f>
        <v>4.4483703676109702E-2</v>
      </c>
      <c r="F38" s="64">
        <f>IFERROR(Equity_Return_on_the_RAV/Equity_RAV_based_on_actual_gearing,0)</f>
        <v>5.5071924499958527E-2</v>
      </c>
      <c r="G38" s="64">
        <f>IFERROR(Equity_Return_on_the_RAV/Equity_RAV_based_on_actual_gearing,0)</f>
        <v>5.5073372344379909E-2</v>
      </c>
      <c r="H38" s="64">
        <f>IFERROR(Equity_Return_on_the_RAV/Equity_RAV_based_on_actual_gearing,0)</f>
        <v>4.910856146585079E-2</v>
      </c>
      <c r="I38" s="379"/>
      <c r="J38" s="30">
        <f>IFERROR(AVERAGE(D65:INDEX(D65:H65,0,MATCH('RFPR cover'!$C$9,$D$6:$H$6,0)))/AVERAGE($D$91:INDEX($D$91:$H$91,0,MATCH('RFPR cover'!$C$9,$D$6:$H$6,0))),0)</f>
        <v>4.3128344105130299E-2</v>
      </c>
      <c r="K38" s="65">
        <f t="shared" ref="K38:K48" si="11">IFERROR(AVERAGE(D65:H65)/AVERAGE($D$91:$H$91),0)</f>
        <v>4.9140379053420696E-2</v>
      </c>
      <c r="M38" s="384"/>
    </row>
    <row r="39" spans="1:13">
      <c r="B39" s="176" t="str">
        <f t="shared" ref="B39:B46" si="12">B66</f>
        <v>Totex outperformance</v>
      </c>
      <c r="C39" s="175" t="s">
        <v>383</v>
      </c>
      <c r="D39" s="64">
        <f>IFERROR(Totex_outperformance/Equity_RAV_based_on_actual_gearing,0)</f>
        <v>0</v>
      </c>
      <c r="E39" s="64">
        <f>IFERROR(Totex_outperformance/Equity_RAV_based_on_actual_gearing,0)</f>
        <v>0</v>
      </c>
      <c r="F39" s="64">
        <f>IFERROR(Totex_outperformance/Equity_RAV_based_on_actual_gearing,0)</f>
        <v>0</v>
      </c>
      <c r="G39" s="64">
        <f>IFERROR(Totex_outperformance/Equity_RAV_based_on_actual_gearing,0)</f>
        <v>0</v>
      </c>
      <c r="H39" s="64">
        <f>IFERROR(Totex_outperformance/Equity_RAV_based_on_actual_gearing,0)</f>
        <v>0</v>
      </c>
      <c r="I39" s="379"/>
      <c r="J39" s="30">
        <f>IFERROR(AVERAGE(D66:INDEX(D66:H66,0,MATCH('RFPR cover'!$C$9,$D$6:$H$6,0)))/AVERAGE($D$91:INDEX($D$91:$H$91,0,MATCH('RFPR cover'!$C$9,$D$6:$H$6,0))),0)</f>
        <v>0</v>
      </c>
      <c r="K39" s="65">
        <f t="shared" si="11"/>
        <v>0</v>
      </c>
    </row>
    <row r="40" spans="1:13">
      <c r="A40" s="380" t="s">
        <v>384</v>
      </c>
      <c r="B40" s="176" t="str">
        <f t="shared" si="12"/>
        <v>Business Plan Incentive</v>
      </c>
      <c r="C40" s="175" t="s">
        <v>383</v>
      </c>
      <c r="D40" s="64">
        <f>IFERROR(Business_Plan_Incentive/Equity_RAV_based_on_actual_gearing,0)</f>
        <v>9.1507120072375201E-4</v>
      </c>
      <c r="E40" s="64">
        <f>IFERROR(Business_Plan_Incentive/Equity_RAV_based_on_actual_gearing,0)</f>
        <v>9.5911570652439603E-4</v>
      </c>
      <c r="F40" s="64">
        <f>IFERROR(Business_Plan_Incentive/Equity_RAV_based_on_actual_gearing,0)</f>
        <v>9.7155467487817528E-4</v>
      </c>
      <c r="G40" s="64">
        <f>IFERROR(Business_Plan_Incentive/Equity_RAV_based_on_actual_gearing,0)</f>
        <v>8.7507220410044668E-4</v>
      </c>
      <c r="H40" s="64">
        <f>IFERROR(Business_Plan_Incentive/Equity_RAV_based_on_actual_gearing,0)</f>
        <v>6.7862646329515429E-4</v>
      </c>
      <c r="I40" s="379"/>
      <c r="J40" s="30">
        <f>IFERROR(AVERAGE(D67:INDEX(D67:H67,0,MATCH('RFPR cover'!$C$9,$D$6:$H$6,0)))/AVERAGE($D$91:INDEX($D$91:$H$91,0,MATCH('RFPR cover'!$C$9,$D$6:$H$6,0))),0)</f>
        <v>9.3657591759719206E-4</v>
      </c>
      <c r="K40" s="65">
        <f t="shared" si="11"/>
        <v>8.648956977646416E-4</v>
      </c>
    </row>
    <row r="41" spans="1:13">
      <c r="A41" s="380" t="s">
        <v>385</v>
      </c>
      <c r="B41" s="176" t="str">
        <f t="shared" si="12"/>
        <v>Energy not supplied ODI - (SpC 4.2)</v>
      </c>
      <c r="C41" s="175" t="s">
        <v>383</v>
      </c>
      <c r="D41" s="64">
        <f>IFERROR(ODI_1/Equity_RAV_based_on_actual_gearing,0)</f>
        <v>1.223285410077887E-3</v>
      </c>
      <c r="E41" s="64">
        <f>IFERROR(ODI_1/Equity_RAV_based_on_actual_gearing,0)</f>
        <v>1.2834978459817293E-3</v>
      </c>
      <c r="F41" s="64">
        <f>IFERROR(ODI_1/Equity_RAV_based_on_actual_gearing,0)</f>
        <v>1.1156233853235882E-3</v>
      </c>
      <c r="G41" s="64">
        <f>IFERROR(ODI_1/Equity_RAV_based_on_actual_gearing,0)</f>
        <v>1.0048338400137158E-3</v>
      </c>
      <c r="H41" s="64">
        <f>IFERROR(ODI_1/Equity_RAV_based_on_actual_gearing,0)</f>
        <v>7.7925779364547507E-4</v>
      </c>
      <c r="I41" s="379"/>
      <c r="J41" s="30">
        <f>IFERROR(AVERAGE(D68:INDEX(D68:H68,0,MATCH('RFPR cover'!$C$9,$D$6:$H$6,0)))/AVERAGE($D$91:INDEX($D$91:$H$91,0,MATCH('RFPR cover'!$C$9,$D$6:$H$6,0))),0)</f>
        <v>1.2526841140214184E-3</v>
      </c>
      <c r="K41" s="65">
        <f t="shared" si="11"/>
        <v>1.0586132802041246E-3</v>
      </c>
    </row>
    <row r="42" spans="1:13">
      <c r="A42" s="380" t="s">
        <v>386</v>
      </c>
      <c r="B42" s="176" t="str">
        <f t="shared" si="12"/>
        <v>Insulation And Interruption Gas emissions ODI - (SpC 4.3)</v>
      </c>
      <c r="C42" s="175" t="s">
        <v>383</v>
      </c>
      <c r="D42" s="64">
        <f>IFERROR(ODI_2/Equity_RAV_based_on_actual_gearing,0)</f>
        <v>1.0317470069652794E-3</v>
      </c>
      <c r="E42" s="64">
        <f>IFERROR(ODI_2/Equity_RAV_based_on_actual_gearing,0)</f>
        <v>1.1374892236004691E-3</v>
      </c>
      <c r="F42" s="64">
        <f>IFERROR(ODI_2/Equity_RAV_based_on_actual_gearing,0)</f>
        <v>1.3521595022399579E-3</v>
      </c>
      <c r="G42" s="64">
        <f>IFERROR(ODI_2/Equity_RAV_based_on_actual_gearing,0)</f>
        <v>1.2337218873093028E-3</v>
      </c>
      <c r="H42" s="64">
        <f>IFERROR(ODI_2/Equity_RAV_based_on_actual_gearing,0)</f>
        <v>9.0888006966921434E-4</v>
      </c>
      <c r="I42" s="379"/>
      <c r="J42" s="30">
        <f>IFERROR(AVERAGE(D69:INDEX(D69:H69,0,MATCH('RFPR cover'!$C$9,$D$6:$H$6,0)))/AVERAGE($D$91:INDEX($D$91:$H$91,0,MATCH('RFPR cover'!$C$9,$D$6:$H$6,0))),0)</f>
        <v>1.0833756128259555E-3</v>
      </c>
      <c r="K42" s="65">
        <f t="shared" si="11"/>
        <v>1.116472238922622E-3</v>
      </c>
    </row>
    <row r="43" spans="1:13">
      <c r="A43" s="380" t="s">
        <v>387</v>
      </c>
      <c r="B43" s="176" t="str">
        <f t="shared" si="12"/>
        <v>Timely Connections ODI - (SpC 4.4)</v>
      </c>
      <c r="C43" s="175" t="s">
        <v>383</v>
      </c>
      <c r="D43" s="64">
        <f>IFERROR(ODI_3/Equity_RAV_based_on_actual_gearing,0)</f>
        <v>0</v>
      </c>
      <c r="E43" s="64">
        <f>IFERROR(ODI_3/Equity_RAV_based_on_actual_gearing,0)</f>
        <v>-1.4408633216736361E-5</v>
      </c>
      <c r="F43" s="64">
        <f>IFERROR(ODI_3/Equity_RAV_based_on_actual_gearing,0)</f>
        <v>0</v>
      </c>
      <c r="G43" s="64">
        <f>IFERROR(ODI_3/Equity_RAV_based_on_actual_gearing,0)</f>
        <v>0</v>
      </c>
      <c r="H43" s="64">
        <f>IFERROR(ODI_3/Equity_RAV_based_on_actual_gearing,0)</f>
        <v>0</v>
      </c>
      <c r="I43" s="379"/>
      <c r="J43" s="30">
        <f>IFERROR(AVERAGE(D70:INDEX(D70:H70,0,MATCH('RFPR cover'!$C$9,$D$6:$H$6,0)))/AVERAGE($D$91:INDEX($D$91:$H$91,0,MATCH('RFPR cover'!$C$9,$D$6:$H$6,0))),0)</f>
        <v>-7.0350108878875853E-6</v>
      </c>
      <c r="K43" s="65">
        <f t="shared" si="11"/>
        <v>-2.5986363887175079E-6</v>
      </c>
    </row>
    <row r="44" spans="1:13">
      <c r="A44" s="380" t="s">
        <v>388</v>
      </c>
      <c r="B44" s="176" t="str">
        <f t="shared" si="12"/>
        <v>Quality of connections satisfaction survey ODI - (SpC 4.5)</v>
      </c>
      <c r="C44" s="175" t="s">
        <v>383</v>
      </c>
      <c r="D44" s="64">
        <f>IFERROR(ODI_4/Equity_RAV_based_on_actual_gearing,0)</f>
        <v>3.4784580378856549E-4</v>
      </c>
      <c r="E44" s="64">
        <f>IFERROR(ODI_4/Equity_RAV_based_on_actual_gearing,0)</f>
        <v>6.3861120792749367E-4</v>
      </c>
      <c r="F44" s="64">
        <f>IFERROR(ODI_4/Equity_RAV_based_on_actual_gearing,0)</f>
        <v>1.1556269182800927E-3</v>
      </c>
      <c r="G44" s="64">
        <f>IFERROR(ODI_4/Equity_RAV_based_on_actual_gearing,0)</f>
        <v>1.2291062239055473E-3</v>
      </c>
      <c r="H44" s="64">
        <f>IFERROR(ODI_4/Equity_RAV_based_on_actual_gearing,0)</f>
        <v>1.099166062395598E-3</v>
      </c>
      <c r="I44" s="379"/>
      <c r="J44" s="30">
        <f>IFERROR(AVERAGE(D71:INDEX(D71:H71,0,MATCH('RFPR cover'!$C$9,$D$6:$H$6,0)))/AVERAGE($D$91:INDEX($D$91:$H$91,0,MATCH('RFPR cover'!$C$9,$D$6:$H$6,0))),0)</f>
        <v>4.8981192598552712E-4</v>
      </c>
      <c r="K44" s="65">
        <f t="shared" si="11"/>
        <v>9.0981732014670726E-4</v>
      </c>
    </row>
    <row r="45" spans="1:13">
      <c r="A45" s="380" t="s">
        <v>389</v>
      </c>
      <c r="B45" s="176" t="str">
        <f t="shared" si="12"/>
        <v>SO-TO Optimisation ODI - (SpC 4.7)</v>
      </c>
      <c r="C45" s="175" t="s">
        <v>383</v>
      </c>
      <c r="D45" s="64">
        <f>IFERROR(ODI_5/Equity_RAV_based_on_actual_gearing,0)</f>
        <v>3.6456436636834284E-4</v>
      </c>
      <c r="E45" s="64">
        <f>IFERROR(ODI_5/Equity_RAV_based_on_actual_gearing,0)</f>
        <v>2.0045518266359878E-3</v>
      </c>
      <c r="F45" s="64">
        <f>IFERROR(ODI_5/Equity_RAV_based_on_actual_gearing,0)</f>
        <v>0</v>
      </c>
      <c r="G45" s="64">
        <f>IFERROR(ODI_5/Equity_RAV_based_on_actual_gearing,0)</f>
        <v>0</v>
      </c>
      <c r="H45" s="64">
        <f>IFERROR(ODI_5/Equity_RAV_based_on_actual_gearing,0)</f>
        <v>0</v>
      </c>
      <c r="I45" s="379"/>
      <c r="J45" s="30">
        <f>IFERROR(AVERAGE(D72:INDEX(D72:H72,0,MATCH('RFPR cover'!$C$9,$D$6:$H$6,0)))/AVERAGE($D$91:INDEX($D$91:$H$91,0,MATCH('RFPR cover'!$C$9,$D$6:$H$6,0))),0)</f>
        <v>1.1652877566744263E-3</v>
      </c>
      <c r="K45" s="65">
        <f t="shared" si="11"/>
        <v>4.3044129086350683E-4</v>
      </c>
    </row>
    <row r="46" spans="1:13">
      <c r="A46" s="380" t="s">
        <v>390</v>
      </c>
      <c r="B46" s="176" t="str">
        <f t="shared" si="12"/>
        <v>Environmental scorecard ODI - (SpC 4.6)</v>
      </c>
      <c r="C46" s="175" t="s">
        <v>383</v>
      </c>
      <c r="D46" s="64">
        <f>IFERROR(ODI_6/Equity_RAV_based_on_actual_gearing,0)</f>
        <v>0</v>
      </c>
      <c r="E46" s="64">
        <f>IFERROR(ODI_6/Equity_RAV_based_on_actual_gearing,0)</f>
        <v>0</v>
      </c>
      <c r="F46" s="64">
        <f>IFERROR(ODI_6/Equity_RAV_based_on_actual_gearing,0)</f>
        <v>0</v>
      </c>
      <c r="G46" s="64">
        <f>IFERROR(ODI_6/Equity_RAV_based_on_actual_gearing,0)</f>
        <v>0</v>
      </c>
      <c r="H46" s="64">
        <f>IFERROR(ODI_6/Equity_RAV_based_on_actual_gearing,0)</f>
        <v>0</v>
      </c>
      <c r="I46" s="379"/>
      <c r="J46" s="30">
        <f>IFERROR(AVERAGE(D73:INDEX(D73:H73,0,MATCH('RFPR cover'!$C$9,$D$6:$H$6,0)))/AVERAGE($D$91:INDEX($D$91:$H$91,0,MATCH('RFPR cover'!$C$9,$D$6:$H$6,0))),0)</f>
        <v>0</v>
      </c>
      <c r="K46" s="65">
        <f t="shared" si="11"/>
        <v>0</v>
      </c>
    </row>
    <row r="47" spans="1:13">
      <c r="A47" s="380" t="s">
        <v>391</v>
      </c>
      <c r="B47" s="176" t="str">
        <f t="shared" ref="B47" si="13">B74</f>
        <v>Network innovation input for RORE</v>
      </c>
      <c r="C47" s="175" t="s">
        <v>383</v>
      </c>
      <c r="D47" s="64">
        <f>IFERROR(ORA_1/Equity_RAV_based_on_actual_gearing,0)</f>
        <v>-1.0700141189523472E-4</v>
      </c>
      <c r="E47" s="64">
        <f>IFERROR(ORA_1/Equity_RAV_based_on_actual_gearing,0)</f>
        <v>-8.7183830649425621E-5</v>
      </c>
      <c r="F47" s="64">
        <f>IFERROR(ORA_1/Equity_RAV_based_on_actual_gearing,0)</f>
        <v>-3.6896918468972285E-4</v>
      </c>
      <c r="G47" s="64">
        <f>IFERROR(ORA_1/Equity_RAV_based_on_actual_gearing,0)</f>
        <v>-3.8771582671942172E-4</v>
      </c>
      <c r="H47" s="64">
        <f>IFERROR(ORA_1/Equity_RAV_based_on_actual_gearing,0)</f>
        <v>-3.1849859238967568E-4</v>
      </c>
      <c r="I47" s="379"/>
      <c r="J47" s="30">
        <f>IFERROR(AVERAGE(D74:INDEX(D74:H74,0,MATCH('RFPR cover'!$C$9,$D$6:$H$6,0)))/AVERAGE($D$91:INDEX($D$91:$H$91,0,MATCH('RFPR cover'!$C$9,$D$6:$H$6,0))),0)</f>
        <v>-9.7325483738917718E-5</v>
      </c>
      <c r="K47" s="65">
        <f t="shared" si="11"/>
        <v>-2.5946870932939248E-4</v>
      </c>
    </row>
    <row r="48" spans="1:13">
      <c r="A48" s="380" t="s">
        <v>392</v>
      </c>
      <c r="B48" s="176" t="str">
        <f t="shared" ref="B48" si="14">B75</f>
        <v>Carry-over Network innovation input for RORE</v>
      </c>
      <c r="C48" s="175" t="s">
        <v>383</v>
      </c>
      <c r="D48" s="64">
        <f>IFERROR(ORA_2/Equity_RAV_based_on_actual_gearing,0)</f>
        <v>-1.7923608315321934E-5</v>
      </c>
      <c r="E48" s="64">
        <f>IFERROR(ORA_2/Equity_RAV_based_on_actual_gearing,0)</f>
        <v>0</v>
      </c>
      <c r="F48" s="64">
        <f>IFERROR(ORA_2/Equity_RAV_based_on_actual_gearing,0)</f>
        <v>0</v>
      </c>
      <c r="G48" s="64">
        <f>IFERROR(ORA_2/Equity_RAV_based_on_actual_gearing,0)</f>
        <v>0</v>
      </c>
      <c r="H48" s="64">
        <f>IFERROR(ORA_2/Equity_RAV_based_on_actual_gearing,0)</f>
        <v>0</v>
      </c>
      <c r="I48" s="379"/>
      <c r="J48" s="30">
        <f>IFERROR(AVERAGE(D75:INDEX(D75:H75,0,MATCH('RFPR cover'!$C$9,$D$6:$H$6,0)))/AVERAGE($D$91:INDEX($D$91:$H$91,0,MATCH('RFPR cover'!$C$9,$D$6:$H$6,0))),0)</f>
        <v>-9.1724118796975588E-6</v>
      </c>
      <c r="K48" s="65">
        <f t="shared" si="11"/>
        <v>-3.3881629556431343E-6</v>
      </c>
    </row>
    <row r="49" spans="1:12">
      <c r="A49" s="380" t="s">
        <v>393</v>
      </c>
      <c r="B49" s="274" t="str">
        <f>B76</f>
        <v>Strategic innovation input for RORE</v>
      </c>
      <c r="C49" s="175" t="s">
        <v>383</v>
      </c>
      <c r="D49" s="64">
        <f>IFERROR(ORA_3/Equity_RAV_based_on_actual_gearing,0)</f>
        <v>0</v>
      </c>
      <c r="E49" s="64">
        <f>IFERROR(ORA_3/Equity_RAV_based_on_actual_gearing,0)</f>
        <v>-7.6946935011515483E-5</v>
      </c>
      <c r="F49" s="64">
        <f>IFERROR(ORA_3/Equity_RAV_based_on_actual_gearing,0)</f>
        <v>-7.0338130856133461E-6</v>
      </c>
      <c r="G49" s="64">
        <f>IFERROR(ORA_3/Equity_RAV_based_on_actual_gearing,0)</f>
        <v>0</v>
      </c>
      <c r="H49" s="64">
        <f>IFERROR(ORA_3/Equity_RAV_based_on_actual_gearing,0)</f>
        <v>0</v>
      </c>
      <c r="I49" s="379"/>
      <c r="J49" s="30">
        <f>IFERROR(AVERAGE(D76:INDEX(D76:H76,0,MATCH('RFPR cover'!$C$9,$D$6:$H$6,0)))/AVERAGE($D$91:INDEX($D$91:$H$91,0,MATCH('RFPR cover'!$C$9,$D$6:$H$6,0))),0)</f>
        <v>-3.7569318161754306E-5</v>
      </c>
      <c r="K49" s="65">
        <f>IFERROR(AVERAGE(D76:H76)/AVERAGE($D$91:$H$91),0)</f>
        <v>-1.5129915823279787E-5</v>
      </c>
    </row>
    <row r="50" spans="1:12">
      <c r="A50" s="380" t="s">
        <v>394</v>
      </c>
      <c r="B50" s="176" t="str">
        <f t="shared" ref="B50:B54" si="15">B77</f>
        <v/>
      </c>
      <c r="C50" s="175" t="s">
        <v>383</v>
      </c>
      <c r="D50" s="64">
        <f>IFERROR(ORA_4/Equity_RAV_based_on_actual_gearing,0)</f>
        <v>0</v>
      </c>
      <c r="E50" s="64">
        <f>IFERROR(ORA_4/Equity_RAV_based_on_actual_gearing,0)</f>
        <v>0</v>
      </c>
      <c r="F50" s="64">
        <f>IFERROR(ORA_4/Equity_RAV_based_on_actual_gearing,0)</f>
        <v>0</v>
      </c>
      <c r="G50" s="64">
        <f>IFERROR(ORA_4/Equity_RAV_based_on_actual_gearing,0)</f>
        <v>0</v>
      </c>
      <c r="H50" s="64">
        <f>IFERROR(ORA_4/Equity_RAV_based_on_actual_gearing,0)</f>
        <v>0</v>
      </c>
      <c r="I50" s="379"/>
      <c r="J50" s="30">
        <f>IFERROR(AVERAGE(D77:INDEX(D77:H77,0,MATCH('RFPR cover'!$C$9,$D$6:$H$6,0)))/AVERAGE($D$91:INDEX($D$91:$H$91,0,MATCH('RFPR cover'!$C$9,$D$6:$H$6,0))),0)</f>
        <v>0</v>
      </c>
      <c r="K50" s="65">
        <f t="shared" ref="K50:K55" si="16">IFERROR(AVERAGE(D77:H77)/AVERAGE($D$91:$H$91),0)</f>
        <v>0</v>
      </c>
    </row>
    <row r="51" spans="1:12">
      <c r="A51" s="380" t="s">
        <v>395</v>
      </c>
      <c r="B51" s="176" t="str">
        <f t="shared" si="15"/>
        <v/>
      </c>
      <c r="C51" s="175" t="s">
        <v>383</v>
      </c>
      <c r="D51" s="64">
        <f>IFERROR(ORA_5/Equity_RAV_based_on_actual_gearing,0)</f>
        <v>0</v>
      </c>
      <c r="E51" s="64">
        <f>IFERROR(ORA_5/Equity_RAV_based_on_actual_gearing,0)</f>
        <v>0</v>
      </c>
      <c r="F51" s="64">
        <f>IFERROR(ORA_5/Equity_RAV_based_on_actual_gearing,0)</f>
        <v>0</v>
      </c>
      <c r="G51" s="64">
        <f>IFERROR(ORA_5/Equity_RAV_based_on_actual_gearing,0)</f>
        <v>0</v>
      </c>
      <c r="H51" s="64">
        <f>IFERROR(ORA_5/Equity_RAV_based_on_actual_gearing,0)</f>
        <v>0</v>
      </c>
      <c r="I51" s="379"/>
      <c r="J51" s="30">
        <f>IFERROR(AVERAGE(D78:INDEX(D78:H78,0,MATCH('RFPR cover'!$C$9,$D$6:$H$6,0)))/AVERAGE($D$91:INDEX($D$91:$H$91,0,MATCH('RFPR cover'!$C$9,$D$6:$H$6,0))),0)</f>
        <v>0</v>
      </c>
      <c r="K51" s="65">
        <f t="shared" si="16"/>
        <v>0</v>
      </c>
    </row>
    <row r="52" spans="1:12">
      <c r="A52" s="380" t="s">
        <v>396</v>
      </c>
      <c r="B52" s="176" t="str">
        <f t="shared" si="15"/>
        <v/>
      </c>
      <c r="C52" s="175" t="s">
        <v>383</v>
      </c>
      <c r="D52" s="64">
        <f>IFERROR(ORA_6/Equity_RAV_based_on_actual_gearing,0)</f>
        <v>0</v>
      </c>
      <c r="E52" s="64">
        <f>IFERROR(ORA_6/Equity_RAV_based_on_actual_gearing,0)</f>
        <v>0</v>
      </c>
      <c r="F52" s="64">
        <f>IFERROR(ORA_6/Equity_RAV_based_on_actual_gearing,0)</f>
        <v>0</v>
      </c>
      <c r="G52" s="64">
        <f>IFERROR(ORA_6/Equity_RAV_based_on_actual_gearing,0)</f>
        <v>0</v>
      </c>
      <c r="H52" s="64">
        <f>IFERROR(ORA_6/Equity_RAV_based_on_actual_gearing,0)</f>
        <v>0</v>
      </c>
      <c r="I52" s="379"/>
      <c r="J52" s="30">
        <f>IFERROR(AVERAGE(D79:INDEX(D79:H79,0,MATCH('RFPR cover'!$C$9,$D$6:$H$6,0)))/AVERAGE($D$91:INDEX($D$91:$H$91,0,MATCH('RFPR cover'!$C$9,$D$6:$H$6,0))),0)</f>
        <v>0</v>
      </c>
      <c r="K52" s="65">
        <f t="shared" si="16"/>
        <v>0</v>
      </c>
    </row>
    <row r="53" spans="1:12">
      <c r="A53" s="380" t="s">
        <v>397</v>
      </c>
      <c r="B53" s="176" t="str">
        <f t="shared" si="15"/>
        <v/>
      </c>
      <c r="C53" s="175" t="s">
        <v>383</v>
      </c>
      <c r="D53" s="64">
        <f>IFERROR(ORA_7/Equity_RAV_based_on_actual_gearing,0)</f>
        <v>0</v>
      </c>
      <c r="E53" s="64">
        <f>IFERROR(ORA_7/Equity_RAV_based_on_actual_gearing,0)</f>
        <v>0</v>
      </c>
      <c r="F53" s="64">
        <f>IFERROR(ORA_7/Equity_RAV_based_on_actual_gearing,0)</f>
        <v>0</v>
      </c>
      <c r="G53" s="64">
        <f>IFERROR(ORA_7/Equity_RAV_based_on_actual_gearing,0)</f>
        <v>0</v>
      </c>
      <c r="H53" s="64">
        <f>IFERROR(ORA_7/Equity_RAV_based_on_actual_gearing,0)</f>
        <v>0</v>
      </c>
      <c r="I53" s="379"/>
      <c r="J53" s="30">
        <f>IFERROR(AVERAGE(D80:INDEX(D80:H80,0,MATCH('RFPR cover'!$C$9,$D$6:$H$6,0)))/AVERAGE($D$91:INDEX($D$91:$H$91,0,MATCH('RFPR cover'!$C$9,$D$6:$H$6,0))),0)</f>
        <v>0</v>
      </c>
      <c r="K53" s="65">
        <f t="shared" si="16"/>
        <v>0</v>
      </c>
    </row>
    <row r="54" spans="1:12">
      <c r="A54" s="380" t="s">
        <v>398</v>
      </c>
      <c r="B54" s="176" t="str">
        <f t="shared" si="15"/>
        <v/>
      </c>
      <c r="C54" s="175" t="s">
        <v>383</v>
      </c>
      <c r="D54" s="64">
        <f>IFERROR(ORA_8/Equity_RAV_based_on_actual_gearing,0)</f>
        <v>0</v>
      </c>
      <c r="E54" s="64">
        <f>IFERROR(ORA_8/Equity_RAV_based_on_actual_gearing,0)</f>
        <v>0</v>
      </c>
      <c r="F54" s="64">
        <f>IFERROR(ORA_8/Equity_RAV_based_on_actual_gearing,0)</f>
        <v>0</v>
      </c>
      <c r="G54" s="64">
        <f>IFERROR(ORA_8/Equity_RAV_based_on_actual_gearing,0)</f>
        <v>0</v>
      </c>
      <c r="H54" s="64">
        <f>IFERROR(ORA_8/Equity_RAV_based_on_actual_gearing,0)</f>
        <v>0</v>
      </c>
      <c r="I54" s="379"/>
      <c r="J54" s="30">
        <f>IFERROR(AVERAGE(D81:INDEX(D81:H81,0,MATCH('RFPR cover'!$C$9,$D$6:$H$6,0)))/AVERAGE($D$91:INDEX($D$91:$H$91,0,MATCH('RFPR cover'!$C$9,$D$6:$H$6,0))),0)</f>
        <v>0</v>
      </c>
      <c r="K54" s="65">
        <f t="shared" si="16"/>
        <v>0</v>
      </c>
    </row>
    <row r="55" spans="1:12" ht="13.5" thickBot="1">
      <c r="B55" s="176" t="str">
        <f t="shared" ref="B55:B56" si="17">B82</f>
        <v>Penalties and fines (Other Activities)</v>
      </c>
      <c r="C55" s="175" t="s">
        <v>383</v>
      </c>
      <c r="D55" s="381">
        <f>IFERROR(Penalties_and_fines/Equity_RAV_based_on_actual_gearing,0)</f>
        <v>0</v>
      </c>
      <c r="E55" s="381">
        <f>IFERROR(Penalties_and_fines/Equity_RAV_based_on_actual_gearing,0)</f>
        <v>0</v>
      </c>
      <c r="F55" s="381">
        <f>IFERROR(Penalties_and_fines/Equity_RAV_based_on_actual_gearing,0)</f>
        <v>0</v>
      </c>
      <c r="G55" s="381">
        <f>IFERROR(Penalties_and_fines/Equity_RAV_based_on_actual_gearing,0)</f>
        <v>0</v>
      </c>
      <c r="H55" s="381">
        <f>IFERROR(Penalties_and_fines/Equity_RAV_based_on_actual_gearing,0)</f>
        <v>0</v>
      </c>
      <c r="I55" s="379"/>
      <c r="J55" s="30">
        <f>IFERROR(AVERAGE(D82:INDEX(D82:H82,0,MATCH('RFPR cover'!$C$9,$D$6:$H$6,0)))/AVERAGE($D$91:INDEX($D$91:$H$91,0,MATCH('RFPR cover'!$C$9,$D$6:$H$6,0))),0)</f>
        <v>0</v>
      </c>
      <c r="K55" s="65">
        <f t="shared" si="16"/>
        <v>0</v>
      </c>
    </row>
    <row r="56" spans="1:12" ht="13.5" thickBot="1">
      <c r="B56" s="177" t="str">
        <f t="shared" si="17"/>
        <v>RoRE - Operational performance</v>
      </c>
      <c r="C56" s="62" t="s">
        <v>383</v>
      </c>
      <c r="D56" s="164">
        <f t="shared" ref="D56:H56" si="18">SUM(D38:D55)</f>
        <v>4.5592814116064029E-2</v>
      </c>
      <c r="E56" s="165">
        <f t="shared" si="18"/>
        <v>5.0328430087902103E-2</v>
      </c>
      <c r="F56" s="165">
        <f t="shared" si="18"/>
        <v>5.9290885982904995E-2</v>
      </c>
      <c r="G56" s="165">
        <f t="shared" si="18"/>
        <v>5.9028390672989504E-2</v>
      </c>
      <c r="H56" s="166">
        <f t="shared" si="18"/>
        <v>5.2255993262466563E-2</v>
      </c>
      <c r="I56" s="382"/>
      <c r="J56" s="168">
        <f>SUM(J38:J55)</f>
        <v>4.7904977207566556E-2</v>
      </c>
      <c r="K56" s="166">
        <f>SUM(K38:K55)</f>
        <v>5.3240033456825264E-2</v>
      </c>
    </row>
    <row r="57" spans="1:12">
      <c r="B57" s="176" t="s">
        <v>400</v>
      </c>
      <c r="C57" s="175" t="s">
        <v>383</v>
      </c>
      <c r="D57" s="383">
        <f>IFERROR((Debt_performance___at_notional_gearing+Debt_performance___impact_of_actual_gearing)/Equity_RAV_based_on_actual_gearing,0)</f>
        <v>5.4540017033519239E-2</v>
      </c>
      <c r="E57" s="383">
        <f>IFERROR((Debt_performance___at_notional_gearing+Debt_performance___impact_of_actual_gearing)/Equity_RAV_based_on_actual_gearing,0)</f>
        <v>0.10134777787755833</v>
      </c>
      <c r="F57" s="383">
        <f>IFERROR((Debt_performance___at_notional_gearing+Debt_performance___impact_of_actual_gearing)/Equity_RAV_based_on_actual_gearing,0)</f>
        <v>3.6211744662539409E-2</v>
      </c>
      <c r="G57" s="383">
        <f>IFERROR((Debt_performance___at_notional_gearing+Debt_performance___impact_of_actual_gearing)/Equity_RAV_based_on_actual_gearing,0)</f>
        <v>-3.059031506424139E-2</v>
      </c>
      <c r="H57" s="383">
        <f>IFERROR((Debt_performance___at_notional_gearing+Debt_performance___impact_of_actual_gearing)/Equity_RAV_based_on_actual_gearing,0)</f>
        <v>-2.3249554680612745E-2</v>
      </c>
      <c r="I57" s="379"/>
      <c r="J57" s="167">
        <f>IFERROR((AVERAGE(D84:INDEX(D84:H84,0,MATCH('RFPR cover'!$C$9,$D$6:$H$6,0)))+AVERAGE(D85:INDEX(D85:H85,0,MATCH('RFPR cover'!$C$9,$D$6:$H$6,0))))/AVERAGE($D$91:INDEX($D$91:$H$91,0,MATCH('RFPR cover'!$C$9,$D$6:$H$6,0))),0)</f>
        <v>7.7393892361052902E-2</v>
      </c>
      <c r="K57" s="167">
        <f>IFERROR((AVERAGE(D84:H84)+AVERAGE(D85:H85))/AVERAGE($D$91:$H$91),0)</f>
        <v>2.3062380477644966E-2</v>
      </c>
    </row>
    <row r="58" spans="1:12" ht="13.5" thickBot="1">
      <c r="B58" s="176" t="s">
        <v>401</v>
      </c>
      <c r="C58" s="175" t="s">
        <v>383</v>
      </c>
      <c r="D58" s="169">
        <f>IFERROR((Tax_performance___at_notional_gearing+Tax_performance___impact_of_actual_gearing)/D$91,0)</f>
        <v>-9.1129106353060336E-4</v>
      </c>
      <c r="E58" s="169">
        <f>IFERROR((Tax_performance___at_notional_gearing+Tax_performance___impact_of_actual_gearing)/E$91,0)</f>
        <v>3.7826246457005209E-3</v>
      </c>
      <c r="F58" s="169">
        <f>IFERROR((Tax_performance___at_notional_gearing+Tax_performance___impact_of_actual_gearing)/F$91,0)</f>
        <v>1.0967578413467441E-3</v>
      </c>
      <c r="G58" s="169">
        <f>IFERROR((Tax_performance___at_notional_gearing+Tax_performance___impact_of_actual_gearing)/G$91,0)</f>
        <v>9.5160564111501059E-4</v>
      </c>
      <c r="H58" s="169">
        <f>IFERROR((Tax_performance___at_notional_gearing+Tax_performance___impact_of_actual_gearing)/H$91,0)</f>
        <v>6.8762229159332667E-4</v>
      </c>
      <c r="I58" s="379"/>
      <c r="J58" s="33">
        <f>IFERROR((AVERAGE(D86:INDEX(D86:H86,0,MATCH('RFPR cover'!$C$9,$D$6:$H$6,0)))+AVERAGE(D87:INDEX(D87:H87,0,MATCH('RFPR cover'!$C$9,$D$6:$H$6,0))))/AVERAGE($D$91:INDEX($D$91:$H$91,0,MATCH('RFPR cover'!$C$9,$D$6:$H$6,0))),0)</f>
        <v>1.3805118871414346E-3</v>
      </c>
      <c r="K58" s="33">
        <f>IFERROR((AVERAGE(D86:H86)+AVERAGE(D87:H87))/AVERAGE($D$91:$H$91),0)</f>
        <v>1.0685928566824068E-3</v>
      </c>
    </row>
    <row r="59" spans="1:12" ht="13.5" thickBot="1">
      <c r="B59" s="177" t="str">
        <f>B88</f>
        <v>RoRE - including financing and tax</v>
      </c>
      <c r="C59" s="62" t="s">
        <v>383</v>
      </c>
      <c r="D59" s="164">
        <f>SUM(D56:D58)</f>
        <v>9.9221540086052662E-2</v>
      </c>
      <c r="E59" s="165">
        <f t="shared" ref="E59:H59" si="19">SUM(E56:E58)</f>
        <v>0.15545883261116097</v>
      </c>
      <c r="F59" s="165">
        <f t="shared" si="19"/>
        <v>9.6599388486791143E-2</v>
      </c>
      <c r="G59" s="165">
        <f t="shared" si="19"/>
        <v>2.9389681249863124E-2</v>
      </c>
      <c r="H59" s="166">
        <f t="shared" si="19"/>
        <v>2.9694060873447146E-2</v>
      </c>
      <c r="I59" s="382"/>
      <c r="J59" s="168">
        <f>SUM(J56:J58)</f>
        <v>0.12667938145576091</v>
      </c>
      <c r="K59" s="166">
        <f>SUM(K56:K58)</f>
        <v>7.7371006791152649E-2</v>
      </c>
    </row>
    <row r="60" spans="1:12">
      <c r="B60" s="61"/>
      <c r="C60" s="62"/>
      <c r="D60" s="63"/>
      <c r="E60" s="63"/>
      <c r="F60" s="63"/>
      <c r="G60" s="63"/>
      <c r="H60" s="63"/>
      <c r="I60" s="382"/>
      <c r="J60" s="63"/>
      <c r="K60" s="63"/>
    </row>
    <row r="61" spans="1:12">
      <c r="B61" s="61"/>
      <c r="C61" s="62"/>
      <c r="D61" s="63"/>
      <c r="E61" s="63"/>
      <c r="F61" s="63"/>
      <c r="G61" s="63"/>
      <c r="H61" s="63"/>
      <c r="I61" s="382"/>
      <c r="J61" s="63"/>
      <c r="K61" s="63"/>
    </row>
    <row r="62" spans="1:12">
      <c r="B62" s="68" t="s">
        <v>402</v>
      </c>
      <c r="C62" s="69"/>
      <c r="D62" s="70"/>
      <c r="E62" s="70"/>
      <c r="F62" s="70"/>
      <c r="G62" s="70"/>
      <c r="H62" s="70"/>
      <c r="I62" s="385"/>
      <c r="J62" s="70"/>
      <c r="K62" s="70"/>
      <c r="L62" s="376"/>
    </row>
    <row r="63" spans="1:12">
      <c r="B63" s="72" t="str">
        <f>"Input values provided in "&amp;Data!C9&amp;" prices"</f>
        <v>Input values provided in £m 18/19 prices</v>
      </c>
      <c r="C63" s="71"/>
      <c r="D63" s="71"/>
      <c r="E63" s="71"/>
      <c r="F63" s="71"/>
      <c r="G63" s="71"/>
      <c r="H63" s="71"/>
      <c r="I63" s="71"/>
      <c r="J63" s="71"/>
      <c r="K63" s="71"/>
      <c r="L63" s="71"/>
    </row>
    <row r="65" spans="1:12">
      <c r="B65" s="386" t="s">
        <v>403</v>
      </c>
      <c r="C65" s="387" t="str">
        <f>Data!$C$9</f>
        <v>£m 18/19</v>
      </c>
      <c r="D65" s="31">
        <f>'R7 - RAV'!F44</f>
        <v>45.718000211636287</v>
      </c>
      <c r="E65" s="32">
        <f>'R7 - RAV'!G44</f>
        <v>46.379913678306771</v>
      </c>
      <c r="F65" s="32">
        <f>'R7 - RAV'!H44</f>
        <v>56.684328657946168</v>
      </c>
      <c r="G65" s="32">
        <f>'R7 - RAV'!I44</f>
        <v>62.935803567197091</v>
      </c>
      <c r="H65" s="32">
        <f>'R7 - RAV'!J44</f>
        <v>72.364642586141017</v>
      </c>
      <c r="I65" s="366"/>
      <c r="J65" s="18">
        <f>SUM(D65:INDEX(D65:H65,0,MATCH('RFPR cover'!$C$9,$D$6:$H$6,0)))</f>
        <v>92.097913889943058</v>
      </c>
      <c r="K65" s="18">
        <f t="shared" ref="K65:K82" si="20">SUM(D65:H65)</f>
        <v>284.08268870122731</v>
      </c>
      <c r="L65" s="366"/>
    </row>
    <row r="66" spans="1:12">
      <c r="B66" s="386" t="s">
        <v>404</v>
      </c>
      <c r="C66" s="387" t="str">
        <f>Data!$C$9</f>
        <v>£m 18/19</v>
      </c>
      <c r="D66" s="46">
        <f>'R3 - Totex - Reconciliation'!D102</f>
        <v>0</v>
      </c>
      <c r="E66" s="46">
        <f>'R3 - Totex - Reconciliation'!E102</f>
        <v>0</v>
      </c>
      <c r="F66" s="46">
        <f>'R3 - Totex - Reconciliation'!F102</f>
        <v>0</v>
      </c>
      <c r="G66" s="46">
        <f>'R3 - Totex - Reconciliation'!G102</f>
        <v>0</v>
      </c>
      <c r="H66" s="46">
        <f>'R3 - Totex - Reconciliation'!H102</f>
        <v>0</v>
      </c>
      <c r="I66" s="366"/>
      <c r="J66" s="18">
        <f>SUM(D66:INDEX(D66:H66,0,MATCH('RFPR cover'!$C$9,$D$6:$H$6,0)))</f>
        <v>0</v>
      </c>
      <c r="K66" s="18">
        <f t="shared" si="20"/>
        <v>0</v>
      </c>
      <c r="L66" s="366"/>
    </row>
    <row r="67" spans="1:12">
      <c r="A67" s="380" t="s">
        <v>384</v>
      </c>
      <c r="B67" s="386" t="s">
        <v>405</v>
      </c>
      <c r="C67" s="387" t="str">
        <f>Data!$C$9</f>
        <v>£m 18/19</v>
      </c>
      <c r="D67" s="43">
        <f>'R4 - Incentives and Other Rev'!D12</f>
        <v>1</v>
      </c>
      <c r="E67" s="43">
        <f>'R4 - Incentives and Other Rev'!E12</f>
        <v>1</v>
      </c>
      <c r="F67" s="43">
        <f>'R4 - Incentives and Other Rev'!F12</f>
        <v>1</v>
      </c>
      <c r="G67" s="43">
        <f>'R4 - Incentives and Other Rev'!G12</f>
        <v>1</v>
      </c>
      <c r="H67" s="43">
        <f>'R4 - Incentives and Other Rev'!H12</f>
        <v>1</v>
      </c>
      <c r="I67" s="366"/>
      <c r="J67" s="18">
        <f>SUM(D67:INDEX(D67:H67,0,MATCH('RFPR cover'!$C$9,$D$6:$H$6,0)))</f>
        <v>2</v>
      </c>
      <c r="K67" s="18">
        <f t="shared" si="20"/>
        <v>5</v>
      </c>
      <c r="L67" s="366"/>
    </row>
    <row r="68" spans="1:12">
      <c r="A68" s="380" t="s">
        <v>385</v>
      </c>
      <c r="B68" s="273" t="str">
        <f>'R4 - Incentives and Other Rev'!B14</f>
        <v>Energy not supplied ODI - (SpC 4.2)</v>
      </c>
      <c r="C68" s="387" t="str">
        <f>Data!$C$9</f>
        <v>£m 18/19</v>
      </c>
      <c r="D68" s="43">
        <f>'R4 - Incentives and Other Rev'!D14</f>
        <v>1.3368199208</v>
      </c>
      <c r="E68" s="43">
        <f>'R4 - Incentives and Other Rev'!E14</f>
        <v>1.3382095999999999</v>
      </c>
      <c r="F68" s="43">
        <f>'R4 - Incentives and Other Rev'!F14</f>
        <v>1.148286776</v>
      </c>
      <c r="G68" s="43">
        <f>'R4 - Incentives and Other Rev'!G14</f>
        <v>1.148286776</v>
      </c>
      <c r="H68" s="43">
        <f>'R4 - Incentives and Other Rev'!H14</f>
        <v>1.148286776</v>
      </c>
      <c r="I68" s="388"/>
      <c r="J68" s="18">
        <f>SUM(D68:INDEX(D68:H68,0,MATCH('RFPR cover'!$C$9,$D$6:$H$6,0)))</f>
        <v>2.6750295207999999</v>
      </c>
      <c r="K68" s="18">
        <f t="shared" si="20"/>
        <v>6.1198898487999998</v>
      </c>
      <c r="L68" s="366"/>
    </row>
    <row r="69" spans="1:12">
      <c r="A69" s="380" t="s">
        <v>386</v>
      </c>
      <c r="B69" s="273" t="str">
        <f>'R4 - Incentives and Other Rev'!B15</f>
        <v>Insulation And Interruption Gas emissions ODI - (SpC 4.3)</v>
      </c>
      <c r="C69" s="387" t="str">
        <f>Data!$C$9</f>
        <v>£m 18/19</v>
      </c>
      <c r="D69" s="43">
        <f>'R4 - Incentives and Other Rev'!D15</f>
        <v>1.1275046205685915</v>
      </c>
      <c r="E69" s="43">
        <f>'R4 - Incentives and Other Rev'!E15</f>
        <v>1.1859770576820763</v>
      </c>
      <c r="F69" s="43">
        <f>'R4 - Incentives and Other Rev'!F15</f>
        <v>1.3917482332216735</v>
      </c>
      <c r="G69" s="43">
        <f>'R4 - Incentives and Other Rev'!G15</f>
        <v>1.4098515317116482</v>
      </c>
      <c r="H69" s="43">
        <f>'R4 - Incentives and Other Rev'!H15</f>
        <v>1.3392935861298942</v>
      </c>
      <c r="I69" s="388"/>
      <c r="J69" s="18">
        <f>SUM(D69:INDEX(D69:H69,0,MATCH('RFPR cover'!$C$9,$D$6:$H$6,0)))</f>
        <v>2.3134816782506675</v>
      </c>
      <c r="K69" s="18">
        <f t="shared" si="20"/>
        <v>6.4543750293138835</v>
      </c>
      <c r="L69" s="366"/>
    </row>
    <row r="70" spans="1:12">
      <c r="A70" s="380" t="s">
        <v>387</v>
      </c>
      <c r="B70" s="273" t="str">
        <f>'R4 - Incentives and Other Rev'!B16</f>
        <v>Timely Connections ODI - (SpC 4.4)</v>
      </c>
      <c r="C70" s="387" t="str">
        <f>Data!$C$9</f>
        <v>£m 18/19</v>
      </c>
      <c r="D70" s="43">
        <f>'R4 - Incentives and Other Rev'!D16</f>
        <v>0</v>
      </c>
      <c r="E70" s="43">
        <f>'R4 - Incentives and Other Rev'!E16</f>
        <v>-1.5022831050228311E-2</v>
      </c>
      <c r="F70" s="43">
        <f>'R4 - Incentives and Other Rev'!F16</f>
        <v>0</v>
      </c>
      <c r="G70" s="43">
        <f>'R4 - Incentives and Other Rev'!G16</f>
        <v>0</v>
      </c>
      <c r="H70" s="43">
        <f>'R4 - Incentives and Other Rev'!H16</f>
        <v>0</v>
      </c>
      <c r="I70" s="388"/>
      <c r="J70" s="18">
        <f>SUM(D70:INDEX(D70:H70,0,MATCH('RFPR cover'!$C$9,$D$6:$H$6,0)))</f>
        <v>-1.5022831050228311E-2</v>
      </c>
      <c r="K70" s="18">
        <f t="shared" si="20"/>
        <v>-1.5022831050228311E-2</v>
      </c>
      <c r="L70" s="366"/>
    </row>
    <row r="71" spans="1:12">
      <c r="A71" s="380" t="s">
        <v>388</v>
      </c>
      <c r="B71" s="273" t="str">
        <f>'R4 - Incentives and Other Rev'!B17</f>
        <v>Quality of connections satisfaction survey ODI - (SpC 4.5)</v>
      </c>
      <c r="C71" s="387" t="str">
        <f>Data!$C$9</f>
        <v>£m 18/19</v>
      </c>
      <c r="D71" s="43">
        <f>'R4 - Incentives and Other Rev'!D17</f>
        <v>0.38012976860537828</v>
      </c>
      <c r="E71" s="43">
        <f>'R4 - Incentives and Other Rev'!E17</f>
        <v>0.66583333333333328</v>
      </c>
      <c r="F71" s="43">
        <f>'R4 - Incentives and Other Rev'!F17</f>
        <v>1.1894615384615368</v>
      </c>
      <c r="G71" s="43">
        <f>'R4 - Incentives and Other Rev'!G17</f>
        <v>1.4045769230769238</v>
      </c>
      <c r="H71" s="43">
        <f>'R4 - Incentives and Other Rev'!H17</f>
        <v>1.6196923076923082</v>
      </c>
      <c r="I71" s="388"/>
      <c r="J71" s="18">
        <f>SUM(D71:INDEX(D71:H71,0,MATCH('RFPR cover'!$C$9,$D$6:$H$6,0)))</f>
        <v>1.0459631019387117</v>
      </c>
      <c r="K71" s="18">
        <f t="shared" si="20"/>
        <v>5.2596938711694801</v>
      </c>
      <c r="L71" s="366"/>
    </row>
    <row r="72" spans="1:12">
      <c r="A72" s="380" t="s">
        <v>389</v>
      </c>
      <c r="B72" s="273" t="str">
        <f>'R4 - Incentives and Other Rev'!B18</f>
        <v>SO-TO Optimisation ODI - (SpC 4.7)</v>
      </c>
      <c r="C72" s="387" t="str">
        <f>Data!$C$9</f>
        <v>£m 18/19</v>
      </c>
      <c r="D72" s="43">
        <f>'R4 - Incentives and Other Rev'!D18</f>
        <v>0.39840000000000003</v>
      </c>
      <c r="E72" s="43">
        <f>'R4 - Incentives and Other Rev'!E18</f>
        <v>2.09</v>
      </c>
      <c r="F72" s="43">
        <f>'R4 - Incentives and Other Rev'!F18</f>
        <v>0</v>
      </c>
      <c r="G72" s="43">
        <f>'R4 - Incentives and Other Rev'!G18</f>
        <v>0</v>
      </c>
      <c r="H72" s="43">
        <f>'R4 - Incentives and Other Rev'!H18</f>
        <v>0</v>
      </c>
      <c r="I72" s="388"/>
      <c r="J72" s="18">
        <f>SUM(D72:INDEX(D72:H72,0,MATCH('RFPR cover'!$C$9,$D$6:$H$6,0)))</f>
        <v>2.4883999999999999</v>
      </c>
      <c r="K72" s="18">
        <f t="shared" si="20"/>
        <v>2.4883999999999999</v>
      </c>
      <c r="L72" s="366"/>
    </row>
    <row r="73" spans="1:12">
      <c r="A73" s="380" t="s">
        <v>390</v>
      </c>
      <c r="B73" s="273" t="str">
        <f>'R4 - Incentives and Other Rev'!B19</f>
        <v>Environmental scorecard ODI - (SpC 4.6)</v>
      </c>
      <c r="C73" s="387" t="str">
        <f>Data!$C$9</f>
        <v>£m 18/19</v>
      </c>
      <c r="D73" s="43">
        <f>'R4 - Incentives and Other Rev'!D19</f>
        <v>0</v>
      </c>
      <c r="E73" s="43">
        <f>'R4 - Incentives and Other Rev'!E19</f>
        <v>0</v>
      </c>
      <c r="F73" s="43">
        <f>'R4 - Incentives and Other Rev'!F19</f>
        <v>0</v>
      </c>
      <c r="G73" s="43">
        <f>'R4 - Incentives and Other Rev'!G19</f>
        <v>0</v>
      </c>
      <c r="H73" s="43">
        <f>'R4 - Incentives and Other Rev'!H19</f>
        <v>0</v>
      </c>
      <c r="I73" s="388"/>
      <c r="J73" s="18">
        <f>SUM(D73:INDEX(D73:H73,0,MATCH('RFPR cover'!$C$9,$D$6:$H$6,0)))</f>
        <v>0</v>
      </c>
      <c r="K73" s="18">
        <f t="shared" ref="K73:K76" si="21">SUM(D73:H73)</f>
        <v>0</v>
      </c>
      <c r="L73" s="366"/>
    </row>
    <row r="74" spans="1:12">
      <c r="A74" s="380" t="s">
        <v>391</v>
      </c>
      <c r="B74" s="273" t="str">
        <f>'R4 - Incentives and Other Rev'!B41</f>
        <v>Network innovation input for RORE</v>
      </c>
      <c r="C74" s="387" t="str">
        <f>Data!$C$9</f>
        <v>£m 18/19</v>
      </c>
      <c r="D74" s="43">
        <f>-'R4 - Incentives and Other Rev'!D41</f>
        <v>-0.11693233467582054</v>
      </c>
      <c r="E74" s="43">
        <f>-'R4 - Incentives and Other Rev'!E41</f>
        <v>-9.0900222002785039E-2</v>
      </c>
      <c r="F74" s="43">
        <f>-'R4 - Incentives and Other Rev'!F41</f>
        <v>-0.37977192043874264</v>
      </c>
      <c r="G74" s="43">
        <f>-'R4 - Incentives and Other Rev'!G41</f>
        <v>-0.44306724051186647</v>
      </c>
      <c r="H74" s="43">
        <f>-'R4 - Incentives and Other Rev'!H41</f>
        <v>-0.4693282823707855</v>
      </c>
      <c r="I74" s="366"/>
      <c r="J74" s="18">
        <f>SUM(D74:INDEX(D74:H74,0,MATCH('RFPR cover'!$C$9,$D$6:$H$6,0)))</f>
        <v>-0.20783255667860556</v>
      </c>
      <c r="K74" s="18">
        <f t="shared" si="21"/>
        <v>-1.5</v>
      </c>
      <c r="L74" s="366"/>
    </row>
    <row r="75" spans="1:12">
      <c r="A75" s="380" t="s">
        <v>392</v>
      </c>
      <c r="B75" s="273" t="str">
        <f>'R4 - Incentives and Other Rev'!B48</f>
        <v>Carry-over Network innovation input for RORE</v>
      </c>
      <c r="C75" s="387" t="str">
        <f>Data!$C$9</f>
        <v>£m 18/19</v>
      </c>
      <c r="D75" s="43">
        <f>-'R4 - Incentives and Other Rev'!D48</f>
        <v>-1.9587118795942566E-2</v>
      </c>
      <c r="E75" s="43">
        <f>-'R4 - Incentives and Other Rev'!E48</f>
        <v>0</v>
      </c>
      <c r="F75" s="43">
        <f>-'R4 - Incentives and Other Rev'!F48</f>
        <v>0</v>
      </c>
      <c r="G75" s="43">
        <f>-'R4 - Incentives and Other Rev'!G48</f>
        <v>0</v>
      </c>
      <c r="H75" s="43">
        <f>-'R4 - Incentives and Other Rev'!H48</f>
        <v>0</v>
      </c>
      <c r="I75" s="366"/>
      <c r="J75" s="18">
        <f>SUM(D75:INDEX(D75:H75,0,MATCH('RFPR cover'!$C$9,$D$6:$H$6,0)))</f>
        <v>-1.9587118795942566E-2</v>
      </c>
      <c r="K75" s="18">
        <f t="shared" si="21"/>
        <v>-1.9587118795942566E-2</v>
      </c>
      <c r="L75" s="366"/>
    </row>
    <row r="76" spans="1:12">
      <c r="A76" s="380" t="s">
        <v>393</v>
      </c>
      <c r="B76" s="273" t="str">
        <f>'R4 - Incentives and Other Rev'!B55</f>
        <v>Strategic innovation input for RORE</v>
      </c>
      <c r="C76" s="387" t="str">
        <f>Data!$C$9</f>
        <v>£m 18/19</v>
      </c>
      <c r="D76" s="43">
        <f>-'R4 - Incentives and Other Rev'!D55</f>
        <v>0</v>
      </c>
      <c r="E76" s="43">
        <f>-'R4 - Incentives and Other Rev'!E55</f>
        <v>-8.0226957486029093E-2</v>
      </c>
      <c r="F76" s="43">
        <f>-'R4 - Incentives and Other Rev'!F55</f>
        <v>-7.2397501319164835E-3</v>
      </c>
      <c r="G76" s="43">
        <f>-'R4 - Incentives and Other Rev'!G55</f>
        <v>0</v>
      </c>
      <c r="H76" s="43">
        <f>-'R4 - Incentives and Other Rev'!H55</f>
        <v>0</v>
      </c>
      <c r="I76" s="366"/>
      <c r="J76" s="18">
        <f>SUM(D76:INDEX(D76:H76,0,MATCH('RFPR cover'!$C$9,$D$6:$H$6,0)))</f>
        <v>-8.0226957486029093E-2</v>
      </c>
      <c r="K76" s="18">
        <f t="shared" si="21"/>
        <v>-8.7466707617945574E-2</v>
      </c>
      <c r="L76" s="366"/>
    </row>
    <row r="77" spans="1:12">
      <c r="A77" s="380" t="s">
        <v>394</v>
      </c>
      <c r="B77" s="273" t="str">
        <f>'R4 - Incentives and Other Rev'!B62</f>
        <v/>
      </c>
      <c r="C77" s="387" t="str">
        <f>Data!$C$9</f>
        <v>£m 18/19</v>
      </c>
      <c r="D77" s="44">
        <f>'R4 - Incentives and Other Rev'!D62</f>
        <v>0</v>
      </c>
      <c r="E77" s="44">
        <f>'R4 - Incentives and Other Rev'!E62</f>
        <v>0</v>
      </c>
      <c r="F77" s="44">
        <f>'R4 - Incentives and Other Rev'!F62</f>
        <v>0</v>
      </c>
      <c r="G77" s="44">
        <f>'R4 - Incentives and Other Rev'!G62</f>
        <v>0</v>
      </c>
      <c r="H77" s="44">
        <f>'R4 - Incentives and Other Rev'!H62</f>
        <v>0</v>
      </c>
      <c r="I77" s="366"/>
      <c r="J77" s="18">
        <f>SUM(D77:INDEX(D77:H77,0,MATCH('RFPR cover'!$C$9,$D$6:$H$6,0)))</f>
        <v>0</v>
      </c>
      <c r="K77" s="18">
        <f t="shared" si="20"/>
        <v>0</v>
      </c>
      <c r="L77" s="366"/>
    </row>
    <row r="78" spans="1:12">
      <c r="A78" s="380" t="s">
        <v>395</v>
      </c>
      <c r="B78" s="273" t="str">
        <f>'R4 - Incentives and Other Rev'!B63</f>
        <v/>
      </c>
      <c r="C78" s="387" t="str">
        <f>Data!$C$9</f>
        <v>£m 18/19</v>
      </c>
      <c r="D78" s="44">
        <f>'R4 - Incentives and Other Rev'!D63</f>
        <v>0</v>
      </c>
      <c r="E78" s="44">
        <f>'R4 - Incentives and Other Rev'!E63</f>
        <v>0</v>
      </c>
      <c r="F78" s="44">
        <f>'R4 - Incentives and Other Rev'!F63</f>
        <v>0</v>
      </c>
      <c r="G78" s="44">
        <f>'R4 - Incentives and Other Rev'!G63</f>
        <v>0</v>
      </c>
      <c r="H78" s="44">
        <f>'R4 - Incentives and Other Rev'!H63</f>
        <v>0</v>
      </c>
      <c r="I78" s="366"/>
      <c r="J78" s="18">
        <f>SUM(D78:INDEX(D78:H78,0,MATCH('RFPR cover'!$C$9,$D$6:$H$6,0)))</f>
        <v>0</v>
      </c>
      <c r="K78" s="18">
        <f t="shared" si="20"/>
        <v>0</v>
      </c>
      <c r="L78" s="366"/>
    </row>
    <row r="79" spans="1:12">
      <c r="A79" s="380" t="s">
        <v>396</v>
      </c>
      <c r="B79" s="273" t="str">
        <f>'R4 - Incentives and Other Rev'!B64</f>
        <v/>
      </c>
      <c r="C79" s="387" t="str">
        <f>Data!$C$9</f>
        <v>£m 18/19</v>
      </c>
      <c r="D79" s="44">
        <f>'R4 - Incentives and Other Rev'!D64</f>
        <v>0</v>
      </c>
      <c r="E79" s="44">
        <f>'R4 - Incentives and Other Rev'!E64</f>
        <v>0</v>
      </c>
      <c r="F79" s="44">
        <f>'R4 - Incentives and Other Rev'!F64</f>
        <v>0</v>
      </c>
      <c r="G79" s="44">
        <f>'R4 - Incentives and Other Rev'!G64</f>
        <v>0</v>
      </c>
      <c r="H79" s="44">
        <f>'R4 - Incentives and Other Rev'!H64</f>
        <v>0</v>
      </c>
      <c r="I79" s="366"/>
      <c r="J79" s="18">
        <f>SUM(D79:INDEX(D79:H79,0,MATCH('RFPR cover'!$C$9,$D$6:$H$6,0)))</f>
        <v>0</v>
      </c>
      <c r="K79" s="18">
        <f t="shared" si="20"/>
        <v>0</v>
      </c>
      <c r="L79" s="366"/>
    </row>
    <row r="80" spans="1:12">
      <c r="A80" s="380" t="s">
        <v>397</v>
      </c>
      <c r="B80" s="273" t="str">
        <f>'R4 - Incentives and Other Rev'!B65</f>
        <v/>
      </c>
      <c r="C80" s="387" t="str">
        <f>Data!$C$9</f>
        <v>£m 18/19</v>
      </c>
      <c r="D80" s="44">
        <f>'R4 - Incentives and Other Rev'!D65</f>
        <v>0</v>
      </c>
      <c r="E80" s="44">
        <f>'R4 - Incentives and Other Rev'!E65</f>
        <v>0</v>
      </c>
      <c r="F80" s="44">
        <f>'R4 - Incentives and Other Rev'!F65</f>
        <v>0</v>
      </c>
      <c r="G80" s="44">
        <f>'R4 - Incentives and Other Rev'!G65</f>
        <v>0</v>
      </c>
      <c r="H80" s="44">
        <f>'R4 - Incentives and Other Rev'!H65</f>
        <v>0</v>
      </c>
      <c r="I80" s="366"/>
      <c r="J80" s="18">
        <f>SUM(D80:INDEX(D80:H80,0,MATCH('RFPR cover'!$C$9,$D$6:$H$6,0)))</f>
        <v>0</v>
      </c>
      <c r="K80" s="18">
        <f>SUM(D80:H80)</f>
        <v>0</v>
      </c>
      <c r="L80" s="366"/>
    </row>
    <row r="81" spans="1:14">
      <c r="A81" s="380" t="s">
        <v>398</v>
      </c>
      <c r="B81" s="273" t="str">
        <f>'R4 - Incentives and Other Rev'!B66</f>
        <v/>
      </c>
      <c r="C81" s="387" t="str">
        <f>Data!$C$9</f>
        <v>£m 18/19</v>
      </c>
      <c r="D81" s="44">
        <f>'R4 - Incentives and Other Rev'!D66</f>
        <v>0</v>
      </c>
      <c r="E81" s="44">
        <f>'R4 - Incentives and Other Rev'!E66</f>
        <v>0</v>
      </c>
      <c r="F81" s="44">
        <f>'R4 - Incentives and Other Rev'!F66</f>
        <v>0</v>
      </c>
      <c r="G81" s="44">
        <f>'R4 - Incentives and Other Rev'!G66</f>
        <v>0</v>
      </c>
      <c r="H81" s="44">
        <f>'R4 - Incentives and Other Rev'!H66</f>
        <v>0</v>
      </c>
      <c r="I81" s="366"/>
      <c r="J81" s="18">
        <f>SUM(D81:INDEX(D81:H81,0,MATCH('RFPR cover'!$C$9,$D$6:$H$6,0)))</f>
        <v>0</v>
      </c>
      <c r="K81" s="18">
        <f>SUM(D81:H81)</f>
        <v>0</v>
      </c>
      <c r="L81" s="366"/>
    </row>
    <row r="82" spans="1:14" ht="13.5" thickBot="1">
      <c r="B82" s="386" t="s">
        <v>406</v>
      </c>
      <c r="C82" s="387" t="str">
        <f>Data!$C$9</f>
        <v>£m 18/19</v>
      </c>
      <c r="D82" s="44">
        <f>-'R10 - Pensions &amp; Oth Activities'!D54</f>
        <v>0</v>
      </c>
      <c r="E82" s="44">
        <f>-'R10 - Pensions &amp; Oth Activities'!E54</f>
        <v>0</v>
      </c>
      <c r="F82" s="44">
        <f>-'R10 - Pensions &amp; Oth Activities'!F54</f>
        <v>0</v>
      </c>
      <c r="G82" s="44">
        <f>-'R10 - Pensions &amp; Oth Activities'!G54</f>
        <v>0</v>
      </c>
      <c r="H82" s="44">
        <f>-'R10 - Pensions &amp; Oth Activities'!H54</f>
        <v>0</v>
      </c>
      <c r="I82" s="366"/>
      <c r="J82" s="153">
        <f>SUM(D82:INDEX(D82:H82,0,MATCH('RFPR cover'!$C$9,$D$6:$H$6,0)))</f>
        <v>0</v>
      </c>
      <c r="K82" s="153">
        <f t="shared" si="20"/>
        <v>0</v>
      </c>
      <c r="L82" s="366"/>
    </row>
    <row r="83" spans="1:14" ht="13.5" thickBot="1">
      <c r="B83" s="389" t="s">
        <v>407</v>
      </c>
      <c r="C83" s="390" t="str">
        <f>Data!$C$9</f>
        <v>£m 18/19</v>
      </c>
      <c r="D83" s="160">
        <f>SUM(D65:D82)</f>
        <v>49.824335068138502</v>
      </c>
      <c r="E83" s="162">
        <f>SUM(E65:E82)</f>
        <v>52.473783658783127</v>
      </c>
      <c r="F83" s="162">
        <f>SUM(F65:F82)</f>
        <v>61.026813535058722</v>
      </c>
      <c r="G83" s="162">
        <f>SUM(G65:G82)</f>
        <v>67.455451557473808</v>
      </c>
      <c r="H83" s="161">
        <f>SUM(H65:H82)</f>
        <v>77.002586973592443</v>
      </c>
      <c r="I83" s="391"/>
      <c r="J83" s="160">
        <f>SUM(J65:J82)</f>
        <v>102.29811872692162</v>
      </c>
      <c r="K83" s="161">
        <f>SUM(K65:K82)</f>
        <v>307.78297079304662</v>
      </c>
      <c r="L83" s="366"/>
    </row>
    <row r="84" spans="1:14">
      <c r="B84" s="386" t="s">
        <v>408</v>
      </c>
      <c r="C84" s="387" t="str">
        <f>Data!$C$9</f>
        <v>£m 18/19</v>
      </c>
      <c r="D84" s="44">
        <f>IFERROR('R5 - Financing'!D85,0)</f>
        <v>59.991906800083434</v>
      </c>
      <c r="E84" s="44">
        <f>IFERROR('R5 - Financing'!E85,0)</f>
        <v>102.99803663895634</v>
      </c>
      <c r="F84" s="44">
        <f>IFERROR('R5 - Financing'!F85,0)</f>
        <v>36.442066744025816</v>
      </c>
      <c r="G84" s="44">
        <f>IFERROR('R5 - Financing'!G85,0)</f>
        <v>-29.229805521933116</v>
      </c>
      <c r="H84" s="44">
        <f>IFERROR('R5 - Financing'!H85,0)</f>
        <v>-34.284897493653077</v>
      </c>
      <c r="I84" s="366"/>
      <c r="J84" s="159">
        <f>SUM(D84:INDEX(D84:H84,0,MATCH('RFPR cover'!$C$9,$D$6:$H$6,0)))</f>
        <v>162.98994343903976</v>
      </c>
      <c r="K84" s="159">
        <f>SUM(D84:H84)</f>
        <v>135.91730716747941</v>
      </c>
      <c r="L84" s="366"/>
    </row>
    <row r="85" spans="1:14">
      <c r="B85" s="386" t="s">
        <v>409</v>
      </c>
      <c r="C85" s="387" t="str">
        <f>Data!$C$9</f>
        <v>£m 18/19</v>
      </c>
      <c r="D85" s="44">
        <f>IFERROR('R5 - Financing'!D87,0)</f>
        <v>-0.38996873189571346</v>
      </c>
      <c r="E85" s="44">
        <f>IFERROR('R5 - Financing'!E87,0)</f>
        <v>2.6699001784045606</v>
      </c>
      <c r="F85" s="44">
        <f>IFERROR('R5 - Financing'!F87,0)</f>
        <v>0.82989087079401003</v>
      </c>
      <c r="G85" s="44">
        <f>IFERROR('R5 - Financing'!G87,0)</f>
        <v>-5.7276698965524986</v>
      </c>
      <c r="H85" s="44">
        <f>IFERROR('R5 - Financing'!H87,0)</f>
        <v>2.5174452907407385E-2</v>
      </c>
      <c r="I85" s="366"/>
      <c r="J85" s="18">
        <f>SUM(D85:INDEX(D85:H85,0,MATCH('RFPR cover'!$C$9,$D$6:$H$6,0)))</f>
        <v>2.2799314465088472</v>
      </c>
      <c r="K85" s="18">
        <f>SUM(D85:H85)</f>
        <v>-2.592673126342234</v>
      </c>
      <c r="L85" s="366"/>
    </row>
    <row r="86" spans="1:14">
      <c r="B86" s="386" t="s">
        <v>410</v>
      </c>
      <c r="C86" s="387" t="str">
        <f>Data!$C$9</f>
        <v>£m 18/19</v>
      </c>
      <c r="D86" s="44">
        <f>IFERROR('R8 - Tax'!E62,0)</f>
        <v>-1.0699630830332261</v>
      </c>
      <c r="E86" s="44">
        <f>IFERROR('R8 - Tax'!F62,0)</f>
        <v>4.4511478895527272</v>
      </c>
      <c r="F86" s="44">
        <f>IFERROR('R8 - Tax'!G62,0)</f>
        <v>1.3363416014638632</v>
      </c>
      <c r="G86" s="44">
        <f>IFERROR('R8 - Tax'!H62,0)</f>
        <v>-0.34445790605226811</v>
      </c>
      <c r="H86" s="44">
        <f>IFERROR('R8 - Tax'!I62,0)</f>
        <v>1.0195495482437267</v>
      </c>
      <c r="I86" s="366"/>
      <c r="J86" s="18">
        <f>SUM(D86:INDEX(D86:H86,0,MATCH('RFPR cover'!$C$9,$D$6:$H$6,0)))</f>
        <v>3.3811848065195012</v>
      </c>
      <c r="K86" s="18">
        <f>SUM(D86:H86)</f>
        <v>5.3926180501748222</v>
      </c>
      <c r="L86" s="366"/>
    </row>
    <row r="87" spans="1:14" ht="13.5" thickBot="1">
      <c r="B87" s="386" t="s">
        <v>411</v>
      </c>
      <c r="C87" s="387" t="str">
        <f>Data!$C$9</f>
        <v>£m 18/19</v>
      </c>
      <c r="D87" s="44">
        <f>IFERROR('R8 - Tax'!E64,0)</f>
        <v>7.4094059060183071E-2</v>
      </c>
      <c r="E87" s="44">
        <f>IFERROR('R8 - Tax'!F64,0)</f>
        <v>-0.50728103389686474</v>
      </c>
      <c r="F87" s="44">
        <f>IFERROR('R8 - Tax'!G64,0)</f>
        <v>-0.20747271769850206</v>
      </c>
      <c r="G87" s="44">
        <f>IFERROR('R8 - Tax'!H64,0)</f>
        <v>1.4319174741381251</v>
      </c>
      <c r="H87" s="44">
        <f>IFERROR('R8 - Tax'!I64,0)</f>
        <v>-6.2936132268516243E-3</v>
      </c>
      <c r="I87" s="366"/>
      <c r="J87" s="153">
        <f>SUM(D87:INDEX(D87:H87,0,MATCH('RFPR cover'!$C$9,$D$6:$H$6,0)))</f>
        <v>-0.43318697483668167</v>
      </c>
      <c r="K87" s="153">
        <f>SUM(D87:H87)</f>
        <v>0.78496416837608973</v>
      </c>
      <c r="L87" s="366"/>
    </row>
    <row r="88" spans="1:14" ht="13.5" thickBot="1">
      <c r="B88" s="389" t="s">
        <v>412</v>
      </c>
      <c r="C88" s="390" t="str">
        <f>Data!$C$9</f>
        <v>£m 18/19</v>
      </c>
      <c r="D88" s="265">
        <f>IF(OR(Licensee=Data!$B$79,Licensee=Data!$B$82),"N/A",SUM(D83:D87))</f>
        <v>108.43040411235317</v>
      </c>
      <c r="E88" s="265">
        <f>IF(OR(Licensee=Data!$B$79,Licensee=Data!$B$82),"N/A",SUM(E83:E87))</f>
        <v>162.08558733179987</v>
      </c>
      <c r="F88" s="265">
        <f>IF(OR(Licensee=Data!$B$79,Licensee=Data!$B$82),"N/A",SUM(F83:F87))</f>
        <v>99.427640033643897</v>
      </c>
      <c r="G88" s="265">
        <f>IF(OR(Licensee=Data!$B$79,Licensee=Data!$B$82),"N/A",SUM(G83:G87))</f>
        <v>33.585435707074048</v>
      </c>
      <c r="H88" s="265">
        <f>IF(OR(Licensee=Data!$B$79,Licensee=Data!$B$82),"N/A",SUM(H83:H87))</f>
        <v>43.756119867863646</v>
      </c>
      <c r="I88" s="391"/>
      <c r="J88" s="160">
        <f>SUM(J83:J87)</f>
        <v>270.51599144415303</v>
      </c>
      <c r="K88" s="161">
        <f>SUM(K83:K87)</f>
        <v>447.28518705273467</v>
      </c>
      <c r="L88" s="366"/>
    </row>
    <row r="89" spans="1:14">
      <c r="D89" s="392"/>
      <c r="I89" s="366"/>
      <c r="L89" s="366"/>
      <c r="N89" s="366"/>
    </row>
    <row r="90" spans="1:14">
      <c r="B90" s="393" t="s">
        <v>413</v>
      </c>
      <c r="C90" s="387" t="str">
        <f>Data!$C$9</f>
        <v>£m 18/19</v>
      </c>
      <c r="D90" s="42">
        <f>'R7 - RAV'!F40</f>
        <v>1077.252425538637</v>
      </c>
      <c r="E90" s="32">
        <f>'R7 - RAV'!G40</f>
        <v>1088.3192252169549</v>
      </c>
      <c r="F90" s="32">
        <f>'R7 - RAV'!H40</f>
        <v>1154.5413041695781</v>
      </c>
      <c r="G90" s="32">
        <f>'R7 - RAV'!I40</f>
        <v>1289.0537743195891</v>
      </c>
      <c r="H90" s="32">
        <f>'R7 - RAV'!J40</f>
        <v>1472.9513500103797</v>
      </c>
      <c r="I90" s="366"/>
      <c r="L90" s="366"/>
    </row>
    <row r="91" spans="1:14">
      <c r="B91" s="386" t="s">
        <v>414</v>
      </c>
      <c r="C91" s="387" t="str">
        <f>Data!$C$9</f>
        <v>£m 18/19</v>
      </c>
      <c r="D91" s="45">
        <f>IFERROR('R6 - Net Debt'!D73,0)</f>
        <v>1092.8111377661933</v>
      </c>
      <c r="E91" s="45">
        <f>IFERROR('R6 - Net Debt'!E73,0)</f>
        <v>1042.6270711630391</v>
      </c>
      <c r="F91" s="45">
        <f>IFERROR('R6 - Net Debt'!F73,0)</f>
        <v>1029.2781516648988</v>
      </c>
      <c r="G91" s="45">
        <f>IFERROR('R6 - Net Debt'!G73,0)</f>
        <v>1142.7628432421484</v>
      </c>
      <c r="H91" s="45">
        <f>IFERROR('R6 - Net Debt'!H73,0)</f>
        <v>1473.5646988247067</v>
      </c>
      <c r="I91" s="366"/>
      <c r="L91" s="366"/>
    </row>
    <row r="92" spans="1:14">
      <c r="L92" s="366"/>
    </row>
    <row r="93" spans="1:14">
      <c r="L93" s="366"/>
    </row>
    <row r="94" spans="1:14">
      <c r="L94" s="366"/>
    </row>
  </sheetData>
  <sheetProtection sort="0" autoFilter="0" pivotTables="0"/>
  <phoneticPr fontId="248" type="noConversion"/>
  <conditionalFormatting sqref="D6:G6">
    <cfRule type="expression" dxfId="82" priority="8">
      <formula>AND(D$5="Actuals",E$5="Forecast")</formula>
    </cfRule>
  </conditionalFormatting>
  <conditionalFormatting sqref="D7:H7">
    <cfRule type="expression" dxfId="81" priority="2">
      <formula>AND(D$5="Actuals",E$5="Forecast")</formula>
    </cfRule>
  </conditionalFormatting>
  <conditionalFormatting sqref="H6">
    <cfRule type="expression" dxfId="80" priority="201">
      <formula>AND(H$5="Actuals",#REF!="Forecast")</formula>
    </cfRule>
  </conditionalFormatting>
  <pageMargins left="0.70866141732283472" right="0.70866141732283472" top="0.74803149606299213" bottom="0.74803149606299213" header="0.31496062992125984" footer="0.31496062992125984"/>
  <pageSetup paperSize="8" scale="84" orientation="landscape" r:id="rId1"/>
  <headerFooter>
    <oddFooter>&amp;C&amp;"Calibri"&amp;11&amp;K000000_x000D_&amp;1#&amp;"Calibri"&amp;12&amp;K008000Internal Use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1"/>
  <sheetViews>
    <sheetView zoomScaleNormal="100" workbookViewId="0"/>
  </sheetViews>
  <sheetFormatPr defaultColWidth="9" defaultRowHeight="12.75" outlineLevelCol="1"/>
  <cols>
    <col min="1" max="1" width="0.75" style="104" customWidth="1"/>
    <col min="2" max="2" width="54.875" style="80" customWidth="1"/>
    <col min="3" max="3" width="19.375" style="80" bestFit="1" customWidth="1"/>
    <col min="4" max="4" width="14.5" style="29" customWidth="1"/>
    <col min="5" max="5" width="10.375" style="104" customWidth="1"/>
    <col min="6" max="9" width="11.125" style="104" customWidth="1"/>
    <col min="10" max="10" width="5" style="104" customWidth="1"/>
    <col min="11" max="20" width="9.25" style="104" customWidth="1" outlineLevel="1"/>
    <col min="21" max="16384" width="9" style="104"/>
  </cols>
  <sheetData>
    <row r="1" spans="1:10" ht="20.25">
      <c r="A1" s="326" t="s">
        <v>415</v>
      </c>
      <c r="B1" s="394"/>
      <c r="C1" s="394"/>
      <c r="D1" s="395"/>
      <c r="E1" s="396"/>
      <c r="F1" s="396"/>
      <c r="G1" s="396"/>
      <c r="H1" s="396"/>
      <c r="I1" s="396"/>
      <c r="J1" s="397"/>
    </row>
    <row r="2" spans="1:10" ht="20.25">
      <c r="A2" s="331" t="str">
        <f t="shared" ref="A2" si="0">Licensee</f>
        <v>SPT</v>
      </c>
      <c r="B2" s="332"/>
      <c r="C2" s="332"/>
      <c r="D2" s="398"/>
      <c r="E2" s="334"/>
      <c r="F2" s="334"/>
      <c r="G2" s="334"/>
      <c r="H2" s="334"/>
      <c r="I2" s="334"/>
      <c r="J2" s="336"/>
    </row>
    <row r="3" spans="1:10" ht="20.25">
      <c r="A3" s="333">
        <f>Reporting_Year</f>
        <v>2023</v>
      </c>
      <c r="B3" s="399"/>
      <c r="C3" s="399"/>
      <c r="D3" s="400"/>
      <c r="E3" s="337"/>
      <c r="F3" s="337"/>
      <c r="G3" s="337"/>
      <c r="H3" s="337"/>
      <c r="I3" s="337"/>
      <c r="J3" s="339"/>
    </row>
    <row r="4" spans="1:10" s="341" customFormat="1" ht="12.75" customHeight="1">
      <c r="B4" s="401"/>
      <c r="C4" s="401"/>
      <c r="D4" s="29"/>
    </row>
    <row r="5" spans="1:10" s="341" customFormat="1">
      <c r="B5" s="401"/>
      <c r="C5" s="401"/>
      <c r="D5" s="29"/>
      <c r="E5" s="340" t="str">
        <f>IF(E6&lt;=Reporting_Year,"Actuals","Forecast")</f>
        <v>Actuals</v>
      </c>
      <c r="F5" s="340" t="str">
        <f>IF(F6&lt;=Reporting_Year,"Actuals","Forecast")</f>
        <v>Actuals</v>
      </c>
      <c r="G5" s="340" t="str">
        <f>IF(G6&lt;=Reporting_Year,"Actuals","Forecast")</f>
        <v>Forecast</v>
      </c>
      <c r="H5" s="340" t="str">
        <f>IF(H6&lt;=Reporting_Year,"Actuals","Forecast")</f>
        <v>Forecast</v>
      </c>
      <c r="I5" s="340" t="str">
        <f>IF(I6&lt;=Reporting_Year,"Actuals","Forecast")</f>
        <v>Forecast</v>
      </c>
    </row>
    <row r="6" spans="1:10" s="341" customFormat="1">
      <c r="B6" s="401"/>
      <c r="C6" s="401"/>
      <c r="D6" s="29"/>
      <c r="E6" s="342">
        <f>RIIO_2_start_date</f>
        <v>2022</v>
      </c>
      <c r="F6" s="342">
        <f>E6+1</f>
        <v>2023</v>
      </c>
      <c r="G6" s="342">
        <f>F6+1</f>
        <v>2024</v>
      </c>
      <c r="H6" s="342">
        <f t="shared" ref="H6:I6" si="1">G6+1</f>
        <v>2025</v>
      </c>
      <c r="I6" s="342">
        <f t="shared" si="1"/>
        <v>2026</v>
      </c>
    </row>
    <row r="7" spans="1:10" s="341" customFormat="1">
      <c r="B7" s="79"/>
      <c r="C7" s="79"/>
      <c r="D7" s="29"/>
      <c r="E7" s="345" t="str">
        <f>RIIO_2_start_date-1&amp;"/"&amp;RIGHT(RIIO_2_start_date,2)</f>
        <v>2021/22</v>
      </c>
      <c r="F7" s="345" t="str">
        <f>RIIO_2_start_date&amp;"/"&amp;RIGHT(RIIO_2_start_date+1,2)</f>
        <v>2022/23</v>
      </c>
      <c r="G7" s="345" t="str">
        <f>RIIO_2_start_date+1&amp;"/"&amp;RIGHT(RIIO_2_start_date+2,2)</f>
        <v>2023/24</v>
      </c>
      <c r="H7" s="345" t="str">
        <f>RIIO_2_start_date+2&amp;"/"&amp;RIGHT(RIIO_2_start_date+3,2)</f>
        <v>2024/25</v>
      </c>
      <c r="I7" s="345" t="str">
        <f>RIIO_2_start_date+3&amp;"/"&amp;RIGHT(RIIO_2_start_date+4,2)</f>
        <v>2025/26</v>
      </c>
    </row>
    <row r="8" spans="1:10" s="341" customFormat="1">
      <c r="B8" s="79"/>
      <c r="C8" s="79"/>
      <c r="D8" s="29"/>
      <c r="E8" s="402"/>
      <c r="F8" s="402"/>
      <c r="G8" s="402"/>
      <c r="H8" s="402"/>
      <c r="I8" s="402"/>
    </row>
    <row r="9" spans="1:10" s="341" customFormat="1">
      <c r="B9" s="403" t="s">
        <v>416</v>
      </c>
      <c r="C9" s="403"/>
      <c r="D9" s="404"/>
      <c r="E9" s="405"/>
      <c r="F9" s="405"/>
      <c r="G9" s="405"/>
      <c r="H9" s="405"/>
      <c r="I9" s="405"/>
      <c r="J9" s="406"/>
    </row>
    <row r="10" spans="1:10" s="341" customFormat="1">
      <c r="B10" s="79"/>
      <c r="C10" s="79"/>
      <c r="D10" s="29"/>
      <c r="E10" s="402"/>
      <c r="F10" s="402"/>
      <c r="G10" s="402"/>
      <c r="H10" s="402"/>
      <c r="I10" s="402"/>
    </row>
    <row r="11" spans="1:10" s="341" customFormat="1">
      <c r="B11" s="407" t="s">
        <v>417</v>
      </c>
      <c r="C11" s="79"/>
      <c r="D11" s="29"/>
    </row>
    <row r="12" spans="1:10" s="341" customFormat="1">
      <c r="B12" s="408"/>
      <c r="C12" s="79"/>
      <c r="D12" s="29"/>
    </row>
    <row r="13" spans="1:10" s="341" customFormat="1">
      <c r="B13" s="80" t="s">
        <v>418</v>
      </c>
      <c r="C13" s="343" t="str">
        <f>IF(Licensee="NGGT (SO)","SORt* x  PIt* / PI2018/19","Rt* x  PIt* / PI2018/19")</f>
        <v>Rt* x  PIt* / PI2018/19</v>
      </c>
      <c r="D13" s="28" t="s">
        <v>419</v>
      </c>
      <c r="E13" s="409">
        <v>372.55989349350426</v>
      </c>
      <c r="F13" s="409">
        <v>370.36736162350707</v>
      </c>
      <c r="G13" s="409"/>
      <c r="H13" s="409"/>
      <c r="I13" s="409"/>
    </row>
    <row r="14" spans="1:10" s="341" customFormat="1">
      <c r="B14" s="80" t="s">
        <v>420</v>
      </c>
      <c r="C14" s="104" t="str">
        <f>IF(Licensee="NGGT (SO)","SOADJt*","ADJt*")</f>
        <v>ADJt*</v>
      </c>
      <c r="D14" s="28" t="s">
        <v>419</v>
      </c>
      <c r="E14" s="409">
        <v>0</v>
      </c>
      <c r="F14" s="409">
        <v>-1.5002937204619182</v>
      </c>
      <c r="G14" s="409"/>
      <c r="H14" s="409"/>
      <c r="I14" s="409"/>
    </row>
    <row r="15" spans="1:10" s="341" customFormat="1">
      <c r="B15" s="80" t="s">
        <v>421</v>
      </c>
      <c r="C15" s="104" t="str">
        <f>IF(Licensee="NGGT (SO)","SOADJRt*","ADJRt*")</f>
        <v>ADJRt*</v>
      </c>
      <c r="D15" s="28" t="s">
        <v>419</v>
      </c>
      <c r="E15" s="455">
        <f>SUM(E13:E14)</f>
        <v>372.55989349350426</v>
      </c>
      <c r="F15" s="455">
        <f t="shared" ref="F15:I15" si="2">SUM(F13:F14)</f>
        <v>368.86706790304515</v>
      </c>
      <c r="G15" s="455">
        <f t="shared" si="2"/>
        <v>0</v>
      </c>
      <c r="H15" s="455">
        <f t="shared" si="2"/>
        <v>0</v>
      </c>
      <c r="I15" s="455">
        <f t="shared" si="2"/>
        <v>0</v>
      </c>
    </row>
    <row r="16" spans="1:10" s="341" customFormat="1">
      <c r="B16" s="80" t="s">
        <v>422</v>
      </c>
      <c r="C16" s="104" t="str">
        <f>IF(OR(Licensee="ESO",Licensee="NGGT (SO)"),"SOLARt","LARt")</f>
        <v>LARt</v>
      </c>
      <c r="D16" s="28" t="s">
        <v>419</v>
      </c>
      <c r="E16" s="409">
        <v>4.6233634157528076</v>
      </c>
      <c r="F16" s="409">
        <v>-3.7422785797817757</v>
      </c>
      <c r="G16" s="409"/>
      <c r="H16" s="409"/>
      <c r="I16" s="409"/>
    </row>
    <row r="17" spans="2:10" s="341" customFormat="1">
      <c r="B17" s="80" t="s">
        <v>423</v>
      </c>
      <c r="C17" s="104" t="str">
        <f>IF(Licensee="NGGT (SO)","SOKt","Kt")</f>
        <v>Kt</v>
      </c>
      <c r="D17" s="28" t="s">
        <v>419</v>
      </c>
      <c r="E17" s="409">
        <v>-0.17178975408287153</v>
      </c>
      <c r="F17" s="409">
        <v>-5.9361685984331398</v>
      </c>
      <c r="G17" s="409"/>
      <c r="H17" s="409"/>
      <c r="I17" s="409"/>
    </row>
    <row r="18" spans="2:10" s="341" customFormat="1">
      <c r="B18" s="79" t="s">
        <v>424</v>
      </c>
      <c r="C18" s="79" t="str">
        <f>IF(Licensee="ESO","SOIARt",IF(Licensee="NGGT (SO)","SOARt","ARt"))</f>
        <v>ARt</v>
      </c>
      <c r="D18" s="29" t="s">
        <v>419</v>
      </c>
      <c r="E18" s="454">
        <f>SUM(E15:E17)</f>
        <v>377.01146715517422</v>
      </c>
      <c r="F18" s="454">
        <f t="shared" ref="F18:I18" si="3">SUM(F15:F17)</f>
        <v>359.18862072483023</v>
      </c>
      <c r="G18" s="454">
        <f t="shared" si="3"/>
        <v>0</v>
      </c>
      <c r="H18" s="454">
        <f t="shared" si="3"/>
        <v>0</v>
      </c>
      <c r="I18" s="454">
        <f t="shared" si="3"/>
        <v>0</v>
      </c>
    </row>
    <row r="19" spans="2:10" s="341" customFormat="1">
      <c r="B19" s="401"/>
      <c r="C19" s="401"/>
      <c r="D19" s="29"/>
      <c r="E19" s="410"/>
      <c r="F19" s="410"/>
      <c r="G19" s="410"/>
      <c r="H19" s="411"/>
      <c r="I19" s="411"/>
    </row>
    <row r="20" spans="2:10" s="341" customFormat="1">
      <c r="B20" s="401" t="s">
        <v>425</v>
      </c>
      <c r="C20" s="408"/>
      <c r="D20" s="29" t="s">
        <v>419</v>
      </c>
      <c r="E20" s="454">
        <f>IF(ISBLANK(E24),0,E24-E18)</f>
        <v>5.8604336354677571</v>
      </c>
      <c r="F20" s="454">
        <f t="shared" ref="F20:I20" si="4">IF(ISBLANK(F24),0,F24-F18)</f>
        <v>-23.068911137965301</v>
      </c>
      <c r="G20" s="454">
        <f t="shared" si="4"/>
        <v>0</v>
      </c>
      <c r="H20" s="454">
        <f t="shared" si="4"/>
        <v>0</v>
      </c>
      <c r="I20" s="454">
        <f t="shared" si="4"/>
        <v>0</v>
      </c>
    </row>
    <row r="21" spans="2:10" s="341" customFormat="1">
      <c r="B21" s="401"/>
      <c r="C21" s="401"/>
      <c r="D21" s="29"/>
    </row>
    <row r="22" spans="2:10" s="341" customFormat="1">
      <c r="B22" s="401"/>
      <c r="C22" s="401"/>
      <c r="D22" s="29"/>
    </row>
    <row r="23" spans="2:10" s="341" customFormat="1">
      <c r="B23" s="401"/>
      <c r="C23" s="401"/>
      <c r="D23" s="29"/>
    </row>
    <row r="24" spans="2:10" s="341" customFormat="1">
      <c r="B24" s="408" t="s">
        <v>426</v>
      </c>
      <c r="C24" s="408" t="s">
        <v>427</v>
      </c>
      <c r="D24" s="29" t="s">
        <v>419</v>
      </c>
      <c r="E24" s="409">
        <v>382.87190079064197</v>
      </c>
      <c r="F24" s="409">
        <v>336.11970958686493</v>
      </c>
      <c r="G24" s="409"/>
      <c r="H24" s="409"/>
      <c r="I24" s="409"/>
    </row>
    <row r="25" spans="2:10" s="341" customFormat="1">
      <c r="B25" s="401"/>
      <c r="C25" s="401"/>
      <c r="D25" s="29"/>
    </row>
    <row r="26" spans="2:10" s="341" customFormat="1">
      <c r="B26" s="408" t="s">
        <v>428</v>
      </c>
      <c r="C26" s="408"/>
      <c r="D26" s="29"/>
      <c r="E26" s="29"/>
      <c r="F26" s="29"/>
      <c r="G26" s="29"/>
      <c r="H26" s="29"/>
      <c r="I26" s="29"/>
      <c r="J26" s="29"/>
    </row>
    <row r="27" spans="2:10" s="341" customFormat="1">
      <c r="B27" s="412" t="s">
        <v>794</v>
      </c>
      <c r="C27" s="412"/>
      <c r="D27" s="29" t="s">
        <v>419</v>
      </c>
      <c r="E27" s="413">
        <v>0</v>
      </c>
      <c r="F27" s="413">
        <v>0</v>
      </c>
      <c r="G27" s="413"/>
      <c r="H27" s="413"/>
      <c r="I27" s="413"/>
    </row>
    <row r="28" spans="2:10" s="341" customFormat="1">
      <c r="B28" s="412" t="s">
        <v>795</v>
      </c>
      <c r="C28" s="412"/>
      <c r="D28" s="29" t="s">
        <v>419</v>
      </c>
      <c r="E28" s="413">
        <v>0</v>
      </c>
      <c r="F28" s="413">
        <v>0</v>
      </c>
      <c r="G28" s="413"/>
      <c r="H28" s="413"/>
      <c r="I28" s="413"/>
    </row>
    <row r="29" spans="2:10" s="341" customFormat="1">
      <c r="B29" s="412" t="s">
        <v>796</v>
      </c>
      <c r="C29" s="412"/>
      <c r="D29" s="29" t="s">
        <v>419</v>
      </c>
      <c r="E29" s="413">
        <v>23.721784491036843</v>
      </c>
      <c r="F29" s="413">
        <v>24.670034465897498</v>
      </c>
      <c r="G29" s="413"/>
      <c r="H29" s="413"/>
      <c r="I29" s="413"/>
    </row>
    <row r="30" spans="2:10" s="341" customFormat="1">
      <c r="B30" s="412" t="s">
        <v>797</v>
      </c>
      <c r="C30" s="412"/>
      <c r="D30" s="29" t="s">
        <v>419</v>
      </c>
      <c r="E30" s="413">
        <v>0</v>
      </c>
      <c r="F30" s="413">
        <v>0</v>
      </c>
      <c r="G30" s="413"/>
      <c r="H30" s="413"/>
      <c r="I30" s="413"/>
    </row>
    <row r="31" spans="2:10" s="341" customFormat="1">
      <c r="B31" s="412" t="s">
        <v>798</v>
      </c>
      <c r="C31" s="412"/>
      <c r="D31" s="29" t="s">
        <v>419</v>
      </c>
      <c r="E31" s="413">
        <v>0</v>
      </c>
      <c r="F31" s="413">
        <v>0</v>
      </c>
      <c r="G31" s="413"/>
      <c r="H31" s="413"/>
      <c r="I31" s="413"/>
    </row>
    <row r="32" spans="2:10" s="341" customFormat="1">
      <c r="B32" s="412" t="s">
        <v>799</v>
      </c>
      <c r="C32" s="412"/>
      <c r="D32" s="29" t="s">
        <v>419</v>
      </c>
      <c r="E32" s="413">
        <v>0</v>
      </c>
      <c r="F32" s="413">
        <v>0</v>
      </c>
      <c r="G32" s="413"/>
      <c r="H32" s="413"/>
      <c r="I32" s="413"/>
    </row>
    <row r="33" spans="2:9" s="341" customFormat="1">
      <c r="B33" s="412" t="s">
        <v>800</v>
      </c>
      <c r="C33" s="412"/>
      <c r="D33" s="29" t="s">
        <v>419</v>
      </c>
      <c r="E33" s="413">
        <v>0</v>
      </c>
      <c r="F33" s="413">
        <v>0</v>
      </c>
      <c r="G33" s="413"/>
      <c r="H33" s="413"/>
      <c r="I33" s="413"/>
    </row>
    <row r="34" spans="2:9" s="341" customFormat="1">
      <c r="B34" s="180" t="s">
        <v>801</v>
      </c>
      <c r="C34" s="180"/>
      <c r="D34" s="29" t="s">
        <v>419</v>
      </c>
      <c r="E34" s="413">
        <v>0</v>
      </c>
      <c r="F34" s="413">
        <v>0</v>
      </c>
      <c r="G34" s="413"/>
      <c r="H34" s="413"/>
      <c r="I34" s="413"/>
    </row>
    <row r="35" spans="2:9" s="341" customFormat="1">
      <c r="B35" s="414" t="s">
        <v>802</v>
      </c>
      <c r="C35" s="415"/>
      <c r="D35" s="29" t="s">
        <v>419</v>
      </c>
      <c r="E35" s="413">
        <v>3.9</v>
      </c>
      <c r="F35" s="413">
        <v>4.3</v>
      </c>
      <c r="G35" s="413"/>
      <c r="H35" s="413"/>
      <c r="I35" s="413"/>
    </row>
    <row r="36" spans="2:9" s="341" customFormat="1">
      <c r="B36" s="408" t="s">
        <v>429</v>
      </c>
      <c r="C36" s="408"/>
      <c r="D36" s="29" t="s">
        <v>419</v>
      </c>
      <c r="E36" s="454">
        <f>SUM(E27:E35)</f>
        <v>27.621784491036841</v>
      </c>
      <c r="F36" s="454">
        <f t="shared" ref="F36:I36" si="5">SUM(F27:F35)</f>
        <v>28.970034465897498</v>
      </c>
      <c r="G36" s="454">
        <f t="shared" si="5"/>
        <v>0</v>
      </c>
      <c r="H36" s="454">
        <f t="shared" si="5"/>
        <v>0</v>
      </c>
      <c r="I36" s="454">
        <f t="shared" si="5"/>
        <v>0</v>
      </c>
    </row>
    <row r="37" spans="2:9" s="341" customFormat="1">
      <c r="B37" s="401"/>
      <c r="C37" s="401"/>
      <c r="D37" s="29"/>
    </row>
    <row r="38" spans="2:9" s="341" customFormat="1">
      <c r="B38" s="408" t="s">
        <v>430</v>
      </c>
      <c r="D38" s="408"/>
      <c r="E38" s="416"/>
    </row>
    <row r="39" spans="2:9" s="341" customFormat="1">
      <c r="B39" s="414" t="s">
        <v>791</v>
      </c>
      <c r="C39" s="414"/>
      <c r="D39" s="29" t="s">
        <v>419</v>
      </c>
      <c r="E39" s="413">
        <v>-2.1198687553530582</v>
      </c>
      <c r="F39" s="413">
        <v>2.1198687553530582</v>
      </c>
      <c r="G39" s="413"/>
      <c r="H39" s="413"/>
      <c r="I39" s="413"/>
    </row>
    <row r="40" spans="2:9" s="341" customFormat="1">
      <c r="B40" s="414" t="s">
        <v>792</v>
      </c>
      <c r="C40" s="414"/>
      <c r="D40" s="29" t="s">
        <v>419</v>
      </c>
      <c r="E40" s="413">
        <v>0</v>
      </c>
      <c r="F40" s="413">
        <v>3.7691517559343466</v>
      </c>
      <c r="G40" s="413"/>
      <c r="H40" s="413"/>
      <c r="I40" s="413"/>
    </row>
    <row r="41" spans="2:9" s="341" customFormat="1">
      <c r="B41" s="414" t="s">
        <v>793</v>
      </c>
      <c r="C41" s="414"/>
      <c r="D41" s="29" t="s">
        <v>419</v>
      </c>
      <c r="E41" s="413">
        <v>0</v>
      </c>
      <c r="F41" s="413">
        <v>0</v>
      </c>
      <c r="G41" s="413"/>
      <c r="H41" s="413"/>
      <c r="I41" s="413"/>
    </row>
    <row r="42" spans="2:9" s="341" customFormat="1">
      <c r="B42" s="414" t="s">
        <v>793</v>
      </c>
      <c r="C42" s="414"/>
      <c r="D42" s="29" t="s">
        <v>419</v>
      </c>
      <c r="E42" s="413">
        <v>0</v>
      </c>
      <c r="F42" s="413">
        <v>0</v>
      </c>
      <c r="G42" s="413"/>
      <c r="H42" s="413"/>
      <c r="I42" s="413"/>
    </row>
    <row r="43" spans="2:9" s="341" customFormat="1">
      <c r="B43" s="414" t="s">
        <v>793</v>
      </c>
      <c r="C43" s="414"/>
      <c r="D43" s="29" t="s">
        <v>419</v>
      </c>
      <c r="E43" s="413">
        <v>0</v>
      </c>
      <c r="F43" s="413">
        <v>0</v>
      </c>
      <c r="G43" s="413"/>
      <c r="H43" s="413"/>
      <c r="I43" s="413"/>
    </row>
    <row r="44" spans="2:9" s="341" customFormat="1">
      <c r="B44" s="414" t="s">
        <v>793</v>
      </c>
      <c r="C44" s="414"/>
      <c r="D44" s="29" t="s">
        <v>419</v>
      </c>
      <c r="E44" s="413">
        <v>0</v>
      </c>
      <c r="F44" s="413">
        <v>0</v>
      </c>
      <c r="G44" s="413"/>
      <c r="H44" s="413"/>
      <c r="I44" s="413"/>
    </row>
    <row r="45" spans="2:9" s="341" customFormat="1">
      <c r="B45" s="414" t="s">
        <v>793</v>
      </c>
      <c r="C45" s="414"/>
      <c r="D45" s="29" t="s">
        <v>419</v>
      </c>
      <c r="E45" s="413">
        <v>0</v>
      </c>
      <c r="F45" s="413">
        <v>0</v>
      </c>
      <c r="G45" s="413"/>
      <c r="H45" s="413"/>
      <c r="I45" s="413"/>
    </row>
    <row r="46" spans="2:9" s="341" customFormat="1">
      <c r="B46" s="414" t="s">
        <v>793</v>
      </c>
      <c r="C46" s="414"/>
      <c r="D46" s="29" t="s">
        <v>419</v>
      </c>
      <c r="E46" s="413">
        <v>0</v>
      </c>
      <c r="F46" s="413">
        <v>0</v>
      </c>
      <c r="G46" s="413"/>
      <c r="H46" s="413"/>
      <c r="I46" s="413"/>
    </row>
    <row r="47" spans="2:9" s="341" customFormat="1">
      <c r="B47" s="414" t="s">
        <v>793</v>
      </c>
      <c r="C47" s="414"/>
      <c r="D47" s="29" t="s">
        <v>419</v>
      </c>
      <c r="E47" s="413">
        <v>0</v>
      </c>
      <c r="F47" s="413">
        <v>0</v>
      </c>
      <c r="G47" s="413"/>
      <c r="H47" s="413"/>
      <c r="I47" s="413"/>
    </row>
    <row r="48" spans="2:9" s="341" customFormat="1">
      <c r="B48" s="414" t="s">
        <v>793</v>
      </c>
      <c r="C48" s="414"/>
      <c r="D48" s="29" t="s">
        <v>419</v>
      </c>
      <c r="E48" s="413">
        <v>0</v>
      </c>
      <c r="F48" s="413">
        <v>0</v>
      </c>
      <c r="G48" s="413"/>
      <c r="H48" s="413"/>
      <c r="I48" s="413"/>
    </row>
    <row r="49" spans="1:14" s="341" customFormat="1">
      <c r="B49" s="414" t="s">
        <v>793</v>
      </c>
      <c r="C49" s="414"/>
      <c r="D49" s="29" t="s">
        <v>419</v>
      </c>
      <c r="E49" s="413">
        <v>0</v>
      </c>
      <c r="F49" s="413">
        <v>0</v>
      </c>
      <c r="G49" s="413"/>
      <c r="H49" s="413"/>
      <c r="I49" s="413"/>
    </row>
    <row r="50" spans="1:14" s="341" customFormat="1">
      <c r="B50" s="414" t="s">
        <v>793</v>
      </c>
      <c r="C50" s="414"/>
      <c r="D50" s="29" t="s">
        <v>419</v>
      </c>
      <c r="E50" s="413">
        <v>0</v>
      </c>
      <c r="F50" s="413">
        <v>0</v>
      </c>
      <c r="G50" s="413"/>
      <c r="H50" s="413"/>
      <c r="I50" s="413"/>
    </row>
    <row r="51" spans="1:14" s="341" customFormat="1">
      <c r="B51" s="414" t="s">
        <v>793</v>
      </c>
      <c r="C51" s="414"/>
      <c r="D51" s="29" t="s">
        <v>419</v>
      </c>
      <c r="E51" s="413">
        <v>0</v>
      </c>
      <c r="F51" s="413">
        <v>0</v>
      </c>
      <c r="G51" s="413"/>
      <c r="H51" s="413"/>
      <c r="I51" s="413"/>
    </row>
    <row r="52" spans="1:14" s="341" customFormat="1">
      <c r="B52" s="414" t="s">
        <v>793</v>
      </c>
      <c r="C52" s="414"/>
      <c r="D52" s="29" t="s">
        <v>419</v>
      </c>
      <c r="E52" s="413">
        <v>0</v>
      </c>
      <c r="F52" s="413">
        <v>0</v>
      </c>
      <c r="G52" s="413"/>
      <c r="H52" s="413"/>
      <c r="I52" s="413"/>
    </row>
    <row r="53" spans="1:14" s="341" customFormat="1">
      <c r="B53" s="414" t="s">
        <v>793</v>
      </c>
      <c r="C53" s="414"/>
      <c r="D53" s="29" t="s">
        <v>419</v>
      </c>
      <c r="E53" s="413">
        <v>0</v>
      </c>
      <c r="F53" s="413">
        <v>0</v>
      </c>
      <c r="G53" s="413"/>
      <c r="H53" s="413"/>
      <c r="I53" s="413"/>
    </row>
    <row r="54" spans="1:14" s="341" customFormat="1">
      <c r="B54" s="414" t="s">
        <v>793</v>
      </c>
      <c r="C54" s="414"/>
      <c r="D54" s="29" t="s">
        <v>419</v>
      </c>
      <c r="E54" s="413">
        <v>0</v>
      </c>
      <c r="F54" s="413">
        <v>0</v>
      </c>
      <c r="G54" s="413"/>
      <c r="H54" s="413"/>
      <c r="I54" s="413"/>
    </row>
    <row r="55" spans="1:14" s="341" customFormat="1">
      <c r="B55" s="408" t="s">
        <v>431</v>
      </c>
      <c r="C55" s="408"/>
      <c r="D55" s="29" t="s">
        <v>419</v>
      </c>
      <c r="E55" s="454">
        <f t="shared" ref="E55:I55" si="6">SUM(E39:E54)</f>
        <v>-2.1198687553530582</v>
      </c>
      <c r="F55" s="454">
        <f t="shared" si="6"/>
        <v>5.8890205112874048</v>
      </c>
      <c r="G55" s="454">
        <f t="shared" si="6"/>
        <v>0</v>
      </c>
      <c r="H55" s="454">
        <f t="shared" si="6"/>
        <v>0</v>
      </c>
      <c r="I55" s="454">
        <f t="shared" si="6"/>
        <v>0</v>
      </c>
    </row>
    <row r="56" spans="1:14" s="341" customFormat="1">
      <c r="B56" s="401"/>
      <c r="C56" s="401"/>
      <c r="D56" s="29"/>
      <c r="E56" s="417"/>
      <c r="F56" s="417"/>
      <c r="G56" s="417"/>
      <c r="H56" s="417"/>
      <c r="I56" s="417"/>
    </row>
    <row r="57" spans="1:14" s="341" customFormat="1">
      <c r="B57" s="418" t="s">
        <v>432</v>
      </c>
      <c r="C57" s="418"/>
      <c r="D57" s="29" t="s">
        <v>419</v>
      </c>
      <c r="E57" s="454">
        <f>E24+E36+E55</f>
        <v>408.37381652632575</v>
      </c>
      <c r="F57" s="454">
        <f t="shared" ref="F57:I57" si="7">F24+F36+F55</f>
        <v>370.97876456404981</v>
      </c>
      <c r="G57" s="454">
        <f t="shared" si="7"/>
        <v>0</v>
      </c>
      <c r="H57" s="454">
        <f t="shared" si="7"/>
        <v>0</v>
      </c>
      <c r="I57" s="454">
        <f t="shared" si="7"/>
        <v>0</v>
      </c>
    </row>
    <row r="58" spans="1:14" s="341" customFormat="1">
      <c r="B58" s="419" t="s">
        <v>433</v>
      </c>
      <c r="C58" s="419"/>
      <c r="D58" s="29" t="s">
        <v>419</v>
      </c>
      <c r="E58" s="413">
        <v>408.4</v>
      </c>
      <c r="F58" s="413">
        <v>371</v>
      </c>
      <c r="G58" s="413"/>
      <c r="H58" s="413"/>
      <c r="I58" s="413"/>
    </row>
    <row r="59" spans="1:14" s="341" customFormat="1">
      <c r="B59" s="401" t="s">
        <v>434</v>
      </c>
      <c r="C59" s="401"/>
      <c r="D59" s="29"/>
      <c r="E59" s="456" t="str">
        <f>IF(ABS(E57-E58)&lt;Data!$F$7,"OK","Error")</f>
        <v>OK</v>
      </c>
      <c r="F59" s="456" t="str">
        <f>IF(ABS(F57-F58)&lt;Data!$F$7,"OK","Error")</f>
        <v>OK</v>
      </c>
      <c r="G59" s="456" t="str">
        <f>IF(ABS(G57-G58)&lt;Data!$F$7,"OK","Error")</f>
        <v>OK</v>
      </c>
      <c r="H59" s="456" t="str">
        <f>IF(ABS(H57-H58)&lt;Data!$F$7,"OK","Error")</f>
        <v>OK</v>
      </c>
      <c r="I59" s="456" t="str">
        <f>IF(ABS(I57-I58)&lt;Data!$F$7,"OK","Error")</f>
        <v>OK</v>
      </c>
    </row>
    <row r="60" spans="1:14" s="341" customFormat="1">
      <c r="B60" s="401"/>
      <c r="C60" s="401"/>
      <c r="D60" s="29"/>
      <c r="E60" s="420"/>
      <c r="F60" s="420"/>
      <c r="G60" s="420"/>
      <c r="H60" s="420"/>
      <c r="I60" s="420"/>
    </row>
    <row r="61" spans="1:14" s="341" customFormat="1">
      <c r="B61" s="401"/>
      <c r="C61" s="401"/>
      <c r="D61" s="29"/>
    </row>
    <row r="62" spans="1:14" s="341" customFormat="1">
      <c r="B62" s="401"/>
      <c r="C62" s="401"/>
      <c r="D62" s="29"/>
    </row>
    <row r="63" spans="1:14" s="341" customFormat="1">
      <c r="B63" s="403" t="s">
        <v>435</v>
      </c>
      <c r="C63" s="403"/>
      <c r="D63" s="404"/>
      <c r="E63" s="405"/>
      <c r="F63" s="405"/>
      <c r="G63" s="405"/>
      <c r="H63" s="405"/>
      <c r="I63" s="405"/>
      <c r="J63" s="406"/>
    </row>
    <row r="64" spans="1:14" s="341" customFormat="1">
      <c r="A64" s="104"/>
      <c r="B64" s="80"/>
      <c r="C64" s="80"/>
      <c r="D64" s="29"/>
      <c r="E64" s="104"/>
      <c r="F64" s="104"/>
      <c r="G64" s="104"/>
      <c r="H64" s="104"/>
      <c r="I64" s="104"/>
      <c r="J64" s="104"/>
      <c r="K64" s="104"/>
      <c r="L64" s="104"/>
      <c r="M64" s="104"/>
      <c r="N64" s="104"/>
    </row>
    <row r="65" spans="1:14" s="341" customFormat="1">
      <c r="A65" s="104"/>
      <c r="B65" s="80"/>
      <c r="C65" s="80"/>
      <c r="D65" s="29"/>
      <c r="E65" s="340" t="str">
        <f>IF(E$6&lt;=Reporting_Year,"Actuals","N/A")</f>
        <v>Actuals</v>
      </c>
      <c r="F65" s="340" t="str">
        <f>IF(F$6&lt;=Reporting_Year,"Actuals","N/A")</f>
        <v>Actuals</v>
      </c>
      <c r="G65" s="340" t="str">
        <f>IF(G$6&lt;=Reporting_Year,"Actuals","N/A")</f>
        <v>N/A</v>
      </c>
      <c r="H65" s="340" t="str">
        <f>IF(H$6&lt;=Reporting_Year,"Actuals","N/A")</f>
        <v>N/A</v>
      </c>
      <c r="I65" s="340" t="str">
        <f>IF(I$6&lt;=Reporting_Year,"Actuals","N/A")</f>
        <v>N/A</v>
      </c>
      <c r="J65" s="104"/>
      <c r="K65" s="104"/>
      <c r="L65" s="104"/>
      <c r="M65" s="104"/>
      <c r="N65" s="104"/>
    </row>
    <row r="66" spans="1:14" s="341" customFormat="1">
      <c r="A66" s="104"/>
      <c r="B66" s="80"/>
      <c r="C66" s="80"/>
      <c r="D66" s="29"/>
      <c r="E66" s="104"/>
      <c r="F66" s="104"/>
      <c r="G66" s="104"/>
      <c r="H66" s="104"/>
      <c r="I66" s="104"/>
      <c r="J66" s="104"/>
      <c r="K66" s="104"/>
      <c r="L66" s="104"/>
      <c r="M66" s="104"/>
      <c r="N66" s="104"/>
    </row>
    <row r="67" spans="1:14" s="341" customFormat="1">
      <c r="A67" s="104"/>
      <c r="B67" s="348" t="s">
        <v>436</v>
      </c>
      <c r="C67" s="80"/>
      <c r="D67" s="29" t="s">
        <v>419</v>
      </c>
      <c r="E67" s="457">
        <f t="shared" ref="E67:I67" si="8">E58</f>
        <v>408.4</v>
      </c>
      <c r="F67" s="457">
        <f t="shared" si="8"/>
        <v>371</v>
      </c>
      <c r="G67" s="457">
        <f t="shared" si="8"/>
        <v>0</v>
      </c>
      <c r="H67" s="457">
        <f t="shared" si="8"/>
        <v>0</v>
      </c>
      <c r="I67" s="457">
        <f t="shared" si="8"/>
        <v>0</v>
      </c>
      <c r="J67" s="104"/>
      <c r="K67" s="104"/>
      <c r="L67" s="104"/>
      <c r="M67" s="104"/>
      <c r="N67" s="104"/>
    </row>
    <row r="68" spans="1:14" s="341" customFormat="1">
      <c r="A68" s="104"/>
      <c r="B68" s="341" t="s">
        <v>437</v>
      </c>
      <c r="C68" s="80"/>
      <c r="D68" s="29" t="s">
        <v>419</v>
      </c>
      <c r="E68" s="457">
        <f>E24</f>
        <v>382.87190079064197</v>
      </c>
      <c r="F68" s="457">
        <f>F24</f>
        <v>336.11970958686493</v>
      </c>
      <c r="G68" s="457">
        <f t="shared" ref="G68:I68" si="9">G24</f>
        <v>0</v>
      </c>
      <c r="H68" s="457">
        <f t="shared" si="9"/>
        <v>0</v>
      </c>
      <c r="I68" s="457">
        <f t="shared" si="9"/>
        <v>0</v>
      </c>
      <c r="J68" s="104" t="s">
        <v>438</v>
      </c>
      <c r="K68" s="104"/>
      <c r="L68" s="104"/>
      <c r="M68" s="104"/>
      <c r="N68" s="104"/>
    </row>
    <row r="69" spans="1:14" s="341" customFormat="1">
      <c r="A69" s="104"/>
      <c r="B69" s="419"/>
      <c r="C69" s="80"/>
      <c r="D69" s="29"/>
      <c r="E69" s="421"/>
      <c r="F69" s="421"/>
      <c r="G69" s="421"/>
      <c r="H69" s="104"/>
      <c r="I69" s="104"/>
      <c r="J69" s="104"/>
      <c r="K69" s="104"/>
      <c r="L69" s="104"/>
      <c r="M69" s="104"/>
      <c r="N69" s="104"/>
    </row>
    <row r="70" spans="1:14">
      <c r="B70" s="422"/>
    </row>
    <row r="71" spans="1:14">
      <c r="B71" s="348" t="s">
        <v>439</v>
      </c>
      <c r="D71" s="29" t="s">
        <v>419</v>
      </c>
      <c r="E71" s="457">
        <f>'R3 - Totex - Reconciliation'!D129</f>
        <v>84.9</v>
      </c>
      <c r="F71" s="457">
        <f>'R3 - Totex - Reconciliation'!E129</f>
        <v>81.440612300000012</v>
      </c>
      <c r="G71" s="457">
        <f>'R3 - Totex - Reconciliation'!F129</f>
        <v>0</v>
      </c>
      <c r="H71" s="457">
        <f>'R3 - Totex - Reconciliation'!G129</f>
        <v>0</v>
      </c>
      <c r="I71" s="457">
        <f>'R3 - Totex - Reconciliation'!H129</f>
        <v>0</v>
      </c>
    </row>
    <row r="72" spans="1:14">
      <c r="B72" s="423" t="s">
        <v>440</v>
      </c>
      <c r="D72" s="104"/>
    </row>
    <row r="73" spans="1:14" ht="8.1" customHeight="1">
      <c r="B73" s="104"/>
      <c r="D73" s="104"/>
    </row>
    <row r="74" spans="1:14" ht="12.6" customHeight="1">
      <c r="B74" s="341" t="s">
        <v>441</v>
      </c>
      <c r="D74" s="29" t="s">
        <v>419</v>
      </c>
      <c r="E74" s="458">
        <f>'R3 - Totex - Reconciliation'!D150</f>
        <v>7.4614720215080323</v>
      </c>
      <c r="F74" s="458">
        <f>'R3 - Totex - Reconciliation'!E150</f>
        <v>14.588643413230262</v>
      </c>
      <c r="G74" s="458">
        <f>'R3 - Totex - Reconciliation'!F150</f>
        <v>0</v>
      </c>
      <c r="H74" s="458">
        <f>'R3 - Totex - Reconciliation'!G150</f>
        <v>0</v>
      </c>
      <c r="I74" s="458">
        <f>'R3 - Totex - Reconciliation'!H150</f>
        <v>0</v>
      </c>
    </row>
    <row r="75" spans="1:14">
      <c r="B75" s="104" t="s">
        <v>442</v>
      </c>
      <c r="D75" s="29" t="s">
        <v>419</v>
      </c>
      <c r="E75" s="413">
        <v>0</v>
      </c>
      <c r="F75" s="413">
        <v>0</v>
      </c>
      <c r="G75" s="413"/>
      <c r="H75" s="413"/>
      <c r="I75" s="413"/>
    </row>
    <row r="76" spans="1:14" ht="5.0999999999999996" customHeight="1">
      <c r="B76" s="104"/>
      <c r="D76" s="80"/>
      <c r="E76" s="80"/>
      <c r="F76" s="80"/>
      <c r="G76" s="80"/>
      <c r="H76" s="80"/>
      <c r="I76" s="80"/>
    </row>
    <row r="77" spans="1:14">
      <c r="B77" s="341" t="s">
        <v>443</v>
      </c>
      <c r="D77" s="29" t="s">
        <v>419</v>
      </c>
      <c r="E77" s="457">
        <f>'R3 - Totex - Reconciliation'!D129+'R3 - Totex - Reconciliation'!D150+E75</f>
        <v>92.361472021508035</v>
      </c>
      <c r="F77" s="459">
        <f>'R3 - Totex - Reconciliation'!E129+'R3 - Totex - Reconciliation'!E150+F75</f>
        <v>96.02925571323027</v>
      </c>
      <c r="G77" s="459">
        <f>'R3 - Totex - Reconciliation'!F129+'R3 - Totex - Reconciliation'!F150+G75</f>
        <v>0</v>
      </c>
      <c r="H77" s="459">
        <f>'R3 - Totex - Reconciliation'!G129+'R3 - Totex - Reconciliation'!G150+H75</f>
        <v>0</v>
      </c>
      <c r="I77" s="459">
        <f>'R3 - Totex - Reconciliation'!H129+'R3 - Totex - Reconciliation'!H150+I75</f>
        <v>0</v>
      </c>
      <c r="K77" s="80"/>
      <c r="N77" s="80"/>
    </row>
    <row r="78" spans="1:14">
      <c r="B78" s="423" t="s">
        <v>444</v>
      </c>
      <c r="D78" s="29" t="s">
        <v>419</v>
      </c>
      <c r="E78" s="460" t="str">
        <f>IF(ABS(E77-SUM(E71,E74,E75))&lt;=materiality_threshold,"ok","error")</f>
        <v>ok</v>
      </c>
      <c r="F78" s="460" t="str">
        <f>IF(ABS(F77-SUM(F71,F74,F75))&lt;=materiality_threshold,"ok","error")</f>
        <v>ok</v>
      </c>
      <c r="G78" s="460" t="str">
        <f>IF(ABS(G77-SUM(G71,G74,G75))&lt;=materiality_threshold,"ok","error")</f>
        <v>ok</v>
      </c>
      <c r="H78" s="460" t="str">
        <f>IF(ABS(H77-SUM(H71,H74,H75))&lt;=materiality_threshold,"ok","error")</f>
        <v>ok</v>
      </c>
      <c r="I78" s="460" t="str">
        <f>IF(ABS(I77-SUM(I71,I74,I75))&lt;=materiality_threshold,"ok","error")</f>
        <v>ok</v>
      </c>
    </row>
    <row r="79" spans="1:14">
      <c r="B79" s="104"/>
      <c r="E79" s="29"/>
      <c r="F79" s="29"/>
      <c r="G79" s="29"/>
      <c r="H79" s="29"/>
      <c r="I79" s="29"/>
    </row>
    <row r="80" spans="1:14">
      <c r="B80" s="348" t="s">
        <v>445</v>
      </c>
      <c r="D80" s="29" t="s">
        <v>419</v>
      </c>
      <c r="E80" s="461">
        <f>E67-E71</f>
        <v>323.5</v>
      </c>
      <c r="F80" s="461">
        <f>F67-F71</f>
        <v>289.5593877</v>
      </c>
      <c r="G80" s="461">
        <f>G67-G71</f>
        <v>0</v>
      </c>
      <c r="H80" s="461">
        <f>H67-H71</f>
        <v>0</v>
      </c>
      <c r="I80" s="461">
        <f>I67-I71</f>
        <v>0</v>
      </c>
    </row>
    <row r="81" spans="2:13">
      <c r="B81" s="424" t="s">
        <v>446</v>
      </c>
      <c r="D81" s="29" t="s">
        <v>419</v>
      </c>
      <c r="E81" s="461">
        <f>E68-E77</f>
        <v>290.51042876913391</v>
      </c>
      <c r="F81" s="461">
        <f>F68-F77</f>
        <v>240.09045387363466</v>
      </c>
      <c r="G81" s="461">
        <f>G68-G77</f>
        <v>0</v>
      </c>
      <c r="H81" s="461">
        <f>H68-H77</f>
        <v>0</v>
      </c>
      <c r="I81" s="461">
        <f>I68-I77</f>
        <v>0</v>
      </c>
    </row>
    <row r="83" spans="2:13">
      <c r="B83" s="348" t="s">
        <v>447</v>
      </c>
      <c r="D83" s="29" t="s">
        <v>419</v>
      </c>
      <c r="E83" s="459">
        <f>'R3 - Totex - Reconciliation'!D124</f>
        <v>94.199999999999989</v>
      </c>
      <c r="F83" s="459">
        <f>'R3 - Totex - Reconciliation'!E124</f>
        <v>98.300000000000011</v>
      </c>
      <c r="G83" s="459">
        <f>'R3 - Totex - Reconciliation'!F124</f>
        <v>0</v>
      </c>
      <c r="H83" s="459">
        <f>'R3 - Totex - Reconciliation'!G124</f>
        <v>0</v>
      </c>
      <c r="I83" s="459">
        <f>'R3 - Totex - Reconciliation'!H124</f>
        <v>0</v>
      </c>
    </row>
    <row r="84" spans="2:13" ht="15.95" customHeight="1">
      <c r="B84" s="423" t="s">
        <v>440</v>
      </c>
    </row>
    <row r="85" spans="2:13" ht="21.95" customHeight="1">
      <c r="B85" s="104" t="s">
        <v>448</v>
      </c>
      <c r="D85" s="104"/>
    </row>
    <row r="86" spans="2:13">
      <c r="B86" s="401" t="s">
        <v>449</v>
      </c>
      <c r="D86" s="29" t="s">
        <v>419</v>
      </c>
      <c r="E86" s="425">
        <v>-6.7360691776905917</v>
      </c>
      <c r="F86" s="425">
        <v>-6.980888509619203</v>
      </c>
      <c r="G86" s="425">
        <v>0</v>
      </c>
      <c r="H86" s="425">
        <v>0</v>
      </c>
      <c r="I86" s="425">
        <v>0</v>
      </c>
      <c r="J86" s="104" t="s">
        <v>450</v>
      </c>
    </row>
    <row r="87" spans="2:13">
      <c r="B87" s="414" t="s">
        <v>803</v>
      </c>
      <c r="C87" s="414"/>
      <c r="D87" s="29" t="s">
        <v>419</v>
      </c>
      <c r="E87" s="413">
        <v>0</v>
      </c>
      <c r="F87" s="413">
        <v>0</v>
      </c>
      <c r="G87" s="413"/>
      <c r="H87" s="413"/>
      <c r="I87" s="413"/>
    </row>
    <row r="88" spans="2:13">
      <c r="B88" s="401" t="s">
        <v>451</v>
      </c>
      <c r="D88" s="29" t="s">
        <v>419</v>
      </c>
      <c r="E88" s="462">
        <f>SUM(E86:E87)</f>
        <v>-6.7360691776905917</v>
      </c>
      <c r="F88" s="462">
        <f t="shared" ref="F88:I88" si="10">SUM(F86:F87)</f>
        <v>-6.980888509619203</v>
      </c>
      <c r="G88" s="462">
        <f t="shared" si="10"/>
        <v>0</v>
      </c>
      <c r="H88" s="462">
        <f t="shared" si="10"/>
        <v>0</v>
      </c>
      <c r="I88" s="462">
        <f t="shared" si="10"/>
        <v>0</v>
      </c>
    </row>
    <row r="89" spans="2:13" ht="5.0999999999999996" customHeight="1">
      <c r="B89" s="401"/>
      <c r="D89" s="80"/>
      <c r="E89" s="80"/>
      <c r="F89" s="80"/>
      <c r="G89" s="80"/>
      <c r="H89" s="80"/>
      <c r="I89" s="80"/>
      <c r="J89" s="80"/>
      <c r="K89" s="80"/>
      <c r="L89" s="80"/>
      <c r="M89" s="80"/>
    </row>
    <row r="90" spans="2:13">
      <c r="B90" s="341" t="s">
        <v>452</v>
      </c>
      <c r="D90" s="29" t="s">
        <v>419</v>
      </c>
      <c r="E90" s="463">
        <f>SUM(E83,E88)</f>
        <v>87.463930822309393</v>
      </c>
      <c r="F90" s="463">
        <f t="shared" ref="F90:I90" si="11">SUM(F83,F88)</f>
        <v>91.319111490380806</v>
      </c>
      <c r="G90" s="463">
        <f t="shared" si="11"/>
        <v>0</v>
      </c>
      <c r="H90" s="463">
        <f t="shared" si="11"/>
        <v>0</v>
      </c>
      <c r="I90" s="463">
        <f t="shared" si="11"/>
        <v>0</v>
      </c>
    </row>
    <row r="91" spans="2:13">
      <c r="B91" s="104"/>
      <c r="C91" s="104"/>
      <c r="D91" s="104"/>
    </row>
    <row r="92" spans="2:13">
      <c r="B92" s="426" t="s">
        <v>453</v>
      </c>
      <c r="C92" s="427"/>
      <c r="D92" s="325" t="s">
        <v>419</v>
      </c>
      <c r="E92" s="455">
        <f>E80-E83</f>
        <v>229.3</v>
      </c>
      <c r="F92" s="455">
        <f t="shared" ref="F92:I92" si="12">F80-F83</f>
        <v>191.25938769999999</v>
      </c>
      <c r="G92" s="455">
        <f t="shared" si="12"/>
        <v>0</v>
      </c>
      <c r="H92" s="455">
        <f t="shared" si="12"/>
        <v>0</v>
      </c>
      <c r="I92" s="455">
        <f t="shared" si="12"/>
        <v>0</v>
      </c>
    </row>
    <row r="93" spans="2:13">
      <c r="B93" s="428" t="s">
        <v>454</v>
      </c>
      <c r="D93" s="29" t="s">
        <v>419</v>
      </c>
      <c r="E93" s="463">
        <f>E81-E90</f>
        <v>203.0464979468245</v>
      </c>
      <c r="F93" s="463">
        <f t="shared" ref="F93:I93" si="13">F81-F90</f>
        <v>148.77134238325385</v>
      </c>
      <c r="G93" s="463">
        <f t="shared" si="13"/>
        <v>0</v>
      </c>
      <c r="H93" s="463">
        <f t="shared" si="13"/>
        <v>0</v>
      </c>
      <c r="I93" s="463">
        <f t="shared" si="13"/>
        <v>0</v>
      </c>
    </row>
    <row r="94" spans="2:13">
      <c r="B94" s="428"/>
      <c r="E94" s="429"/>
      <c r="F94" s="429"/>
      <c r="G94" s="429"/>
      <c r="H94" s="429"/>
      <c r="I94" s="430"/>
    </row>
    <row r="95" spans="2:13">
      <c r="B95" s="431" t="s">
        <v>455</v>
      </c>
      <c r="D95" s="29" t="s">
        <v>419</v>
      </c>
      <c r="E95" s="464">
        <f>'R5 - Financing'!D9</f>
        <v>29.878709830000002</v>
      </c>
      <c r="F95" s="464">
        <f>'R5 - Financing'!E9</f>
        <v>50.210123081532949</v>
      </c>
      <c r="G95" s="464">
        <f>'R5 - Financing'!F9</f>
        <v>80.583808977654229</v>
      </c>
      <c r="H95" s="464">
        <f>'R5 - Financing'!G9</f>
        <v>74.015738354763826</v>
      </c>
      <c r="I95" s="464">
        <f>'R5 - Financing'!H9</f>
        <v>66.841842342808405</v>
      </c>
    </row>
    <row r="96" spans="2:13">
      <c r="B96" s="432" t="s">
        <v>456</v>
      </c>
      <c r="D96" s="29" t="s">
        <v>419</v>
      </c>
      <c r="E96" s="464">
        <f>'R5 - Financing'!D29</f>
        <v>29.025959830000001</v>
      </c>
      <c r="F96" s="464">
        <f>'R5 - Financing'!E29</f>
        <v>49.357373081532948</v>
      </c>
      <c r="G96" s="464">
        <f>'R5 - Financing'!F29</f>
        <v>80.031058977654226</v>
      </c>
      <c r="H96" s="464">
        <f>'R5 - Financing'!G29</f>
        <v>73.462988354763823</v>
      </c>
      <c r="I96" s="464">
        <f>'R5 - Financing'!H29</f>
        <v>66.841842342808405</v>
      </c>
    </row>
    <row r="97" spans="2:9">
      <c r="B97" s="433" t="s">
        <v>457</v>
      </c>
      <c r="D97" s="29" t="s">
        <v>419</v>
      </c>
      <c r="E97" s="463">
        <f>E95-E96</f>
        <v>0.85275000000000034</v>
      </c>
      <c r="F97" s="463">
        <f>F95-F96</f>
        <v>0.85275000000000034</v>
      </c>
      <c r="G97" s="463">
        <f>G95-G96</f>
        <v>0.55275000000000318</v>
      </c>
      <c r="H97" s="463">
        <f>H95-H96</f>
        <v>0.55275000000000318</v>
      </c>
      <c r="I97" s="465">
        <f>I95-I96</f>
        <v>0</v>
      </c>
    </row>
    <row r="98" spans="2:9">
      <c r="B98" s="428"/>
      <c r="E98" s="429"/>
      <c r="F98" s="429"/>
      <c r="G98" s="429"/>
      <c r="H98" s="429"/>
      <c r="I98" s="430"/>
    </row>
    <row r="99" spans="2:9">
      <c r="B99" s="431" t="s">
        <v>458</v>
      </c>
      <c r="D99" s="29" t="s">
        <v>419</v>
      </c>
      <c r="E99" s="413">
        <v>107.60000000000001</v>
      </c>
      <c r="F99" s="413">
        <v>30.4</v>
      </c>
      <c r="G99" s="413"/>
      <c r="H99" s="413"/>
      <c r="I99" s="413"/>
    </row>
    <row r="100" spans="2:9">
      <c r="B100" s="431" t="s">
        <v>459</v>
      </c>
      <c r="D100" s="29" t="s">
        <v>419</v>
      </c>
      <c r="E100" s="413">
        <v>-85.3</v>
      </c>
      <c r="F100" s="413">
        <v>-15.5</v>
      </c>
      <c r="G100" s="413"/>
      <c r="H100" s="413"/>
      <c r="I100" s="413"/>
    </row>
    <row r="101" spans="2:9">
      <c r="B101" s="431" t="s">
        <v>460</v>
      </c>
      <c r="D101" s="29" t="s">
        <v>419</v>
      </c>
      <c r="E101" s="455">
        <f>SUM(E99:E100)</f>
        <v>22.300000000000011</v>
      </c>
      <c r="F101" s="455">
        <f t="shared" ref="F101:I101" si="14">SUM(F99:F100)</f>
        <v>14.899999999999999</v>
      </c>
      <c r="G101" s="455">
        <f t="shared" si="14"/>
        <v>0</v>
      </c>
      <c r="H101" s="455">
        <f t="shared" si="14"/>
        <v>0</v>
      </c>
      <c r="I101" s="455">
        <f t="shared" si="14"/>
        <v>0</v>
      </c>
    </row>
    <row r="102" spans="2:9">
      <c r="B102" s="432" t="s">
        <v>461</v>
      </c>
      <c r="D102" s="29" t="s">
        <v>419</v>
      </c>
      <c r="E102" s="464">
        <f>Adjusted_regulated_tax_liability</f>
        <v>22.729579150564309</v>
      </c>
      <c r="F102" s="464">
        <f>Adjusted_regulated_tax_liability</f>
        <v>16.211068030462624</v>
      </c>
      <c r="G102" s="464">
        <f>Adjusted_regulated_tax_liability</f>
        <v>0</v>
      </c>
      <c r="H102" s="464">
        <f>Adjusted_regulated_tax_liability</f>
        <v>0</v>
      </c>
      <c r="I102" s="464">
        <f>Adjusted_regulated_tax_liability</f>
        <v>0</v>
      </c>
    </row>
    <row r="103" spans="2:9">
      <c r="B103" s="433" t="s">
        <v>457</v>
      </c>
      <c r="D103" s="29" t="s">
        <v>419</v>
      </c>
      <c r="E103" s="466">
        <f>E101-E102</f>
        <v>-0.42957915056429741</v>
      </c>
      <c r="F103" s="466">
        <f t="shared" ref="F103:I103" si="15">F101-F102</f>
        <v>-1.311068030462625</v>
      </c>
      <c r="G103" s="466">
        <f t="shared" si="15"/>
        <v>0</v>
      </c>
      <c r="H103" s="466">
        <f t="shared" si="15"/>
        <v>0</v>
      </c>
      <c r="I103" s="466">
        <f t="shared" si="15"/>
        <v>0</v>
      </c>
    </row>
    <row r="104" spans="2:9">
      <c r="B104" s="434"/>
      <c r="E104" s="429"/>
      <c r="F104" s="429"/>
      <c r="G104" s="429"/>
      <c r="H104" s="429"/>
      <c r="I104" s="430"/>
    </row>
    <row r="105" spans="2:9">
      <c r="B105" s="435" t="s">
        <v>462</v>
      </c>
      <c r="D105" s="29" t="s">
        <v>419</v>
      </c>
      <c r="E105" s="455">
        <f>IFERROR(E92-E95-E99,0)</f>
        <v>91.821290170000012</v>
      </c>
      <c r="F105" s="455">
        <f>IFERROR(F92-F95-F99,0)</f>
        <v>110.64926461846704</v>
      </c>
      <c r="G105" s="455">
        <f>IFERROR(G92-G95-G99,0)</f>
        <v>-80.583808977654229</v>
      </c>
      <c r="H105" s="455">
        <f>IFERROR(H92-H95-H99,0)</f>
        <v>-74.015738354763826</v>
      </c>
      <c r="I105" s="455">
        <f>IFERROR(I92-I95-I99,0)</f>
        <v>-66.841842342808405</v>
      </c>
    </row>
    <row r="106" spans="2:9">
      <c r="B106" s="436" t="s">
        <v>463</v>
      </c>
      <c r="D106" s="29" t="s">
        <v>419</v>
      </c>
      <c r="E106" s="455">
        <f>IFERROR(E93-E96-E102,0)</f>
        <v>151.29095896626018</v>
      </c>
      <c r="F106" s="455">
        <f>IFERROR(F93-F96-F102,0)</f>
        <v>83.20290127125827</v>
      </c>
      <c r="G106" s="455">
        <f>IFERROR(G93-G96-G102,0)</f>
        <v>-80.031058977654226</v>
      </c>
      <c r="H106" s="455">
        <f>IFERROR(H93-H96-H102,0)</f>
        <v>-73.462988354763823</v>
      </c>
      <c r="I106" s="455">
        <f>IFERROR(I93-I96-I102,0)</f>
        <v>-66.841842342808405</v>
      </c>
    </row>
    <row r="107" spans="2:9">
      <c r="B107" s="433" t="s">
        <v>457</v>
      </c>
      <c r="D107" s="29" t="s">
        <v>419</v>
      </c>
      <c r="E107" s="463">
        <f>IFERROR(E105-E106,0)</f>
        <v>-59.469668796260166</v>
      </c>
      <c r="F107" s="463">
        <f>IFERROR(F105-F106,0)</f>
        <v>27.446363347208774</v>
      </c>
      <c r="G107" s="463">
        <f>IFERROR(G105-G106,0)</f>
        <v>-0.55275000000000318</v>
      </c>
      <c r="H107" s="463">
        <f>IFERROR(H105-H106,0)</f>
        <v>-0.55275000000000318</v>
      </c>
      <c r="I107" s="463">
        <f>IFERROR(I105-I106,0)</f>
        <v>0</v>
      </c>
    </row>
    <row r="108" spans="2:9">
      <c r="B108" s="434"/>
      <c r="C108" s="104"/>
      <c r="D108" s="104"/>
      <c r="I108" s="437"/>
    </row>
    <row r="109" spans="2:9">
      <c r="B109" s="438"/>
      <c r="C109" s="439"/>
      <c r="D109" s="224"/>
      <c r="E109" s="225"/>
      <c r="F109" s="224"/>
      <c r="G109" s="224"/>
      <c r="H109" s="224"/>
      <c r="I109" s="226"/>
    </row>
    <row r="110" spans="2:9">
      <c r="B110" s="104"/>
      <c r="D110" s="104"/>
    </row>
    <row r="111" spans="2:9">
      <c r="B111" s="104"/>
      <c r="C111" s="104"/>
      <c r="D111" s="104"/>
    </row>
    <row r="112" spans="2:9">
      <c r="B112" s="440"/>
      <c r="D112" s="104"/>
    </row>
    <row r="113" spans="2:9">
      <c r="B113" s="441" t="s">
        <v>464</v>
      </c>
      <c r="C113" s="104"/>
      <c r="D113" s="104"/>
    </row>
    <row r="114" spans="2:9">
      <c r="B114" s="795">
        <v>0</v>
      </c>
      <c r="C114" s="796">
        <v>0</v>
      </c>
      <c r="D114" s="796">
        <v>0</v>
      </c>
      <c r="E114" s="796">
        <v>0</v>
      </c>
      <c r="F114" s="796">
        <v>0</v>
      </c>
      <c r="G114" s="442"/>
      <c r="H114" s="442"/>
      <c r="I114" s="443"/>
    </row>
    <row r="115" spans="2:9">
      <c r="B115" s="444"/>
      <c r="C115" s="445"/>
      <c r="D115" s="446"/>
      <c r="E115" s="447"/>
      <c r="F115" s="447"/>
      <c r="G115" s="447"/>
      <c r="H115" s="447"/>
      <c r="I115" s="448"/>
    </row>
    <row r="116" spans="2:9">
      <c r="B116" s="444"/>
      <c r="C116" s="445"/>
      <c r="D116" s="446"/>
      <c r="E116" s="447"/>
      <c r="F116" s="447"/>
      <c r="G116" s="447"/>
      <c r="H116" s="447"/>
      <c r="I116" s="448"/>
    </row>
    <row r="117" spans="2:9">
      <c r="B117" s="444"/>
      <c r="C117" s="445"/>
      <c r="D117" s="446"/>
      <c r="E117" s="447"/>
      <c r="F117" s="447"/>
      <c r="G117" s="447"/>
      <c r="H117" s="447"/>
      <c r="I117" s="448"/>
    </row>
    <row r="118" spans="2:9">
      <c r="B118" s="444"/>
      <c r="C118" s="445"/>
      <c r="D118" s="446"/>
      <c r="E118" s="447"/>
      <c r="F118" s="447"/>
      <c r="G118" s="447"/>
      <c r="H118" s="447"/>
      <c r="I118" s="448"/>
    </row>
    <row r="119" spans="2:9">
      <c r="B119" s="449"/>
      <c r="C119" s="450"/>
      <c r="D119" s="451"/>
      <c r="E119" s="452"/>
      <c r="F119" s="452"/>
      <c r="G119" s="452"/>
      <c r="H119" s="452"/>
      <c r="I119" s="453"/>
    </row>
    <row r="121" spans="2:9" ht="13.5" customHeight="1"/>
    <row r="127" spans="2:9" ht="15" customHeight="1"/>
    <row r="141" ht="91.5" customHeight="1"/>
  </sheetData>
  <sheetProtection insertRows="0" autoFilter="0" pivotTables="0"/>
  <mergeCells count="1">
    <mergeCell ref="B114:F114"/>
  </mergeCells>
  <conditionalFormatting sqref="C35">
    <cfRule type="expression" dxfId="79" priority="53">
      <formula>C$5="Forecast"</formula>
    </cfRule>
  </conditionalFormatting>
  <conditionalFormatting sqref="E6:H6">
    <cfRule type="expression" dxfId="78" priority="20">
      <formula>AND(E$5="Actuals",F$5="Forecast")</formula>
    </cfRule>
  </conditionalFormatting>
  <conditionalFormatting sqref="E65:H65">
    <cfRule type="expression" dxfId="77" priority="23">
      <formula>AND(E$5="Actuals",F$5="N/A")</formula>
    </cfRule>
  </conditionalFormatting>
  <conditionalFormatting sqref="E7:I7">
    <cfRule type="expression" dxfId="76" priority="22">
      <formula>AND(E$5="Actuals",F$5="Forecast")</formula>
    </cfRule>
  </conditionalFormatting>
  <conditionalFormatting sqref="E13:I18 E20:I20 E24:I24 E27:I36 E39:I55 E57:I59 E65:I65 E67:I68 E71:I71 E86:I88 E90:I90 E92:I93 E95:I97 E99:I103">
    <cfRule type="expression" dxfId="75" priority="17">
      <formula>E$5="Forecast"</formula>
    </cfRule>
  </conditionalFormatting>
  <conditionalFormatting sqref="E24:I24">
    <cfRule type="expression" priority="5">
      <formula>E$5="Forecast"</formula>
    </cfRule>
    <cfRule type="expression" priority="6">
      <formula>$E3="Forecast"</formula>
    </cfRule>
  </conditionalFormatting>
  <conditionalFormatting sqref="E27:I35 E39:I54">
    <cfRule type="expression" priority="18">
      <formula>E$5="Forecast"</formula>
    </cfRule>
  </conditionalFormatting>
  <conditionalFormatting sqref="E27:I35">
    <cfRule type="expression" priority="19">
      <formula>$E6="Forecast"</formula>
    </cfRule>
  </conditionalFormatting>
  <conditionalFormatting sqref="E59:I59">
    <cfRule type="expression" dxfId="74" priority="57">
      <formula>E$5="Forecast"</formula>
    </cfRule>
  </conditionalFormatting>
  <conditionalFormatting sqref="E67:I69 E71:I71 E86:I86">
    <cfRule type="expression" dxfId="73" priority="49">
      <formula>D$12="N/A"</formula>
    </cfRule>
  </conditionalFormatting>
  <conditionalFormatting sqref="E74:I75">
    <cfRule type="expression" dxfId="72" priority="9">
      <formula>E$5="Forecast"</formula>
    </cfRule>
  </conditionalFormatting>
  <conditionalFormatting sqref="E77:I77">
    <cfRule type="expression" dxfId="71" priority="4">
      <formula>D$12="N/A"</formula>
    </cfRule>
  </conditionalFormatting>
  <conditionalFormatting sqref="E77:I78">
    <cfRule type="expression" dxfId="70" priority="3">
      <formula>E$5="Forecast"</formula>
    </cfRule>
  </conditionalFormatting>
  <conditionalFormatting sqref="E83:I83">
    <cfRule type="expression" dxfId="69" priority="1">
      <formula>E$5="Forecast"</formula>
    </cfRule>
    <cfRule type="expression" dxfId="68" priority="2">
      <formula>D$12="N/A"</formula>
    </cfRule>
  </conditionalFormatting>
  <conditionalFormatting sqref="E105:I107">
    <cfRule type="expression" dxfId="67" priority="15">
      <formula>E$5="Forecast"</formula>
    </cfRule>
  </conditionalFormatting>
  <conditionalFormatting sqref="I6">
    <cfRule type="expression" dxfId="66" priority="21">
      <formula>AND(I$5="Actuals",#REF!="Forecast")</formula>
    </cfRule>
  </conditionalFormatting>
  <conditionalFormatting sqref="I65">
    <cfRule type="expression" dxfId="65" priority="235">
      <formula>AND(I$5="Actuals",#REF!="N/A")</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&amp;C&amp;"Calibri"&amp;11&amp;K000000_x000D_&amp;1#&amp;"Calibri"&amp;12&amp;K008000Internal Use</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0" id="{F64DC2A1-1BFC-4A45-BEAE-BCD4DDABF2EA}">
            <xm:f>'RFPR cover'!$C$7="ESO"</xm:f>
            <x14:dxf>
              <fill>
                <patternFill>
                  <fgColor auto="1"/>
                  <bgColor theme="7" tint="0.79998168889431442"/>
                </patternFill>
              </fill>
            </x14:dxf>
          </x14:cfRule>
          <xm:sqref>E24:I24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T243"/>
  <sheetViews>
    <sheetView zoomScale="80" zoomScaleNormal="80" workbookViewId="0">
      <selection activeCell="L33" sqref="L33"/>
    </sheetView>
  </sheetViews>
  <sheetFormatPr defaultColWidth="9.125" defaultRowHeight="12.75"/>
  <cols>
    <col min="1" max="1" width="8.375" style="341" customWidth="1"/>
    <col min="2" max="2" width="64.5" style="401" customWidth="1"/>
    <col min="3" max="3" width="13.375" style="29" customWidth="1"/>
    <col min="4" max="8" width="11.125" style="341" customWidth="1"/>
    <col min="9" max="10" width="12.875" style="341" customWidth="1"/>
    <col min="11" max="16384" width="9.125" style="341"/>
  </cols>
  <sheetData>
    <row r="1" spans="1:19" s="104" customFormat="1" ht="20.25">
      <c r="A1" s="326" t="s">
        <v>465</v>
      </c>
      <c r="B1" s="327"/>
      <c r="C1" s="467"/>
      <c r="D1" s="329"/>
      <c r="E1" s="329"/>
      <c r="F1" s="329"/>
      <c r="G1" s="329"/>
      <c r="H1" s="329"/>
      <c r="I1" s="330"/>
      <c r="J1" s="330"/>
      <c r="K1" s="468"/>
    </row>
    <row r="2" spans="1:19" s="104" customFormat="1" ht="20.25">
      <c r="A2" s="331" t="str">
        <f>Licensee</f>
        <v>SPT</v>
      </c>
      <c r="B2" s="332"/>
      <c r="C2" s="398"/>
      <c r="D2" s="334"/>
      <c r="E2" s="334"/>
      <c r="F2" s="334"/>
      <c r="G2" s="334"/>
      <c r="H2" s="334"/>
      <c r="I2" s="335"/>
      <c r="J2" s="335"/>
      <c r="K2" s="336"/>
    </row>
    <row r="3" spans="1:19" s="104" customFormat="1" ht="20.25">
      <c r="A3" s="333">
        <f>Reporting_Year</f>
        <v>2023</v>
      </c>
      <c r="B3" s="399"/>
      <c r="C3" s="400"/>
      <c r="D3" s="337"/>
      <c r="E3" s="337"/>
      <c r="F3" s="337"/>
      <c r="G3" s="337"/>
      <c r="H3" s="337"/>
      <c r="I3" s="338"/>
      <c r="J3" s="338"/>
      <c r="K3" s="339"/>
    </row>
    <row r="4" spans="1:19" ht="12.75" customHeight="1"/>
    <row r="5" spans="1:19" ht="30" customHeight="1">
      <c r="D5" s="340" t="str">
        <f>IF(D6&lt;=Reporting_Year,"Actuals","Forecast")</f>
        <v>Actuals</v>
      </c>
      <c r="E5" s="340" t="str">
        <f t="shared" ref="E5:I5" si="0">IF(E6&lt;=Reporting_Year,"Actuals","Forecast")</f>
        <v>Actuals</v>
      </c>
      <c r="F5" s="340" t="str">
        <f t="shared" si="0"/>
        <v>Forecast</v>
      </c>
      <c r="G5" s="340" t="str">
        <f t="shared" si="0"/>
        <v>Forecast</v>
      </c>
      <c r="H5" s="340" t="str">
        <f t="shared" si="0"/>
        <v>Forecast</v>
      </c>
      <c r="I5" s="340" t="str">
        <f t="shared" si="0"/>
        <v>Forecast</v>
      </c>
    </row>
    <row r="6" spans="1:19" ht="27.75" customHeight="1">
      <c r="D6" s="469">
        <f>'RFPR cover'!$C$6</f>
        <v>2022</v>
      </c>
      <c r="E6" s="470">
        <f>D6+1</f>
        <v>2023</v>
      </c>
      <c r="F6" s="470">
        <f t="shared" ref="F6:H6" si="1">E6+1</f>
        <v>2024</v>
      </c>
      <c r="G6" s="470">
        <f t="shared" si="1"/>
        <v>2025</v>
      </c>
      <c r="H6" s="470">
        <f t="shared" si="1"/>
        <v>2026</v>
      </c>
      <c r="I6" s="344" t="str">
        <f>"Cumulative to "&amp;'RFPR cover'!$C$9</f>
        <v>Cumulative to 2023</v>
      </c>
      <c r="J6" s="471" t="s">
        <v>380</v>
      </c>
    </row>
    <row r="7" spans="1:19">
      <c r="D7" s="345" t="str">
        <f>RIIO_2_start_date-1&amp;"/"&amp;RIGHT(RIIO_2_start_date,2)</f>
        <v>2021/22</v>
      </c>
      <c r="E7" s="345" t="str">
        <f>RIIO_2_start_date&amp;"/"&amp;RIGHT(RIIO_2_start_date+1,2)</f>
        <v>2022/23</v>
      </c>
      <c r="F7" s="345" t="str">
        <f>RIIO_2_start_date+1&amp;"/"&amp;RIGHT(RIIO_2_start_date+2,2)</f>
        <v>2023/24</v>
      </c>
      <c r="G7" s="345" t="str">
        <f>RIIO_2_start_date+2&amp;"/"&amp;RIGHT(RIIO_2_start_date+3,2)</f>
        <v>2024/25</v>
      </c>
      <c r="H7" s="345" t="str">
        <f>RIIO_2_start_date+3&amp;"/"&amp;RIGHT(RIIO_2_start_date+4,2)</f>
        <v>2025/26</v>
      </c>
    </row>
    <row r="8" spans="1:19">
      <c r="B8" s="472" t="s">
        <v>466</v>
      </c>
      <c r="C8" s="473"/>
      <c r="D8" s="473"/>
      <c r="E8" s="473"/>
      <c r="F8" s="473"/>
      <c r="G8" s="473"/>
      <c r="H8" s="474"/>
      <c r="I8" s="474"/>
      <c r="J8" s="474"/>
      <c r="K8" s="401"/>
    </row>
    <row r="9" spans="1:19">
      <c r="B9" s="475" t="s">
        <v>467</v>
      </c>
      <c r="C9" s="476"/>
      <c r="D9" s="476"/>
      <c r="E9" s="476"/>
      <c r="F9" s="476"/>
      <c r="G9" s="476"/>
      <c r="H9" s="476"/>
      <c r="I9" s="476"/>
      <c r="J9" s="476"/>
      <c r="K9" s="401"/>
      <c r="L9" s="401"/>
    </row>
    <row r="11" spans="1:19">
      <c r="B11" s="477" t="str">
        <f>IF(Sector="GD2","Capitalisation 1 totex (excluding repex)","Capitalisation 1 totex")</f>
        <v>Capitalisation 1 totex</v>
      </c>
      <c r="C11" s="478"/>
      <c r="D11" s="406"/>
      <c r="E11" s="406"/>
      <c r="F11" s="406"/>
      <c r="G11" s="406"/>
      <c r="H11" s="406"/>
      <c r="I11" s="406"/>
      <c r="J11" s="406"/>
      <c r="K11" s="401"/>
    </row>
    <row r="12" spans="1:19">
      <c r="B12" s="408"/>
      <c r="D12" s="479"/>
      <c r="E12" s="479"/>
      <c r="F12" s="479"/>
      <c r="G12" s="479"/>
      <c r="H12" s="479"/>
      <c r="I12" s="479"/>
      <c r="J12" s="479"/>
      <c r="K12" s="401"/>
    </row>
    <row r="13" spans="1:19">
      <c r="B13" s="80" t="s">
        <v>468</v>
      </c>
      <c r="C13" s="480" t="str">
        <f>Data!$C$9</f>
        <v>£m 18/19</v>
      </c>
      <c r="D13" s="481">
        <v>206.07222433489775</v>
      </c>
      <c r="E13" s="481">
        <v>200.41201816469425</v>
      </c>
      <c r="F13" s="481">
        <v>316.51692362964934</v>
      </c>
      <c r="G13" s="481">
        <v>284.43379297113506</v>
      </c>
      <c r="H13" s="481">
        <v>258.79085055601803</v>
      </c>
      <c r="I13" s="511">
        <f>SUM(D13:INDEX(D13:H13,0,MATCH('RFPR cover'!$C$9,$D$6:$H$6,0)))</f>
        <v>406.48424249959203</v>
      </c>
      <c r="J13" s="512">
        <f>SUM(D13:H13)</f>
        <v>1266.2258096563944</v>
      </c>
      <c r="K13" s="401"/>
    </row>
    <row r="14" spans="1:19" ht="17.100000000000001" customHeight="1">
      <c r="B14" s="482" t="s">
        <v>469</v>
      </c>
      <c r="C14" s="480" t="str">
        <f>Data!$C$9</f>
        <v>£m 18/19</v>
      </c>
      <c r="D14" s="481">
        <v>287.21564367983376</v>
      </c>
      <c r="E14" s="481">
        <v>296.31196150489262</v>
      </c>
      <c r="F14" s="481">
        <v>253.26012761745886</v>
      </c>
      <c r="G14" s="481">
        <v>203.87630857616202</v>
      </c>
      <c r="H14" s="481">
        <v>179.23784674064214</v>
      </c>
      <c r="I14" s="513">
        <f>SUM(D14:INDEX(D14:H14,0,MATCH('RFPR cover'!$C$9,$D$6:$H$6,0)))</f>
        <v>583.52760518472633</v>
      </c>
      <c r="J14" s="514">
        <f>SUM(D14:H14)</f>
        <v>1219.9018881189895</v>
      </c>
      <c r="K14" s="483"/>
    </row>
    <row r="15" spans="1:19">
      <c r="B15" s="79" t="s">
        <v>470</v>
      </c>
      <c r="C15" s="480" t="str">
        <f>Data!$C$9</f>
        <v>£m 18/19</v>
      </c>
      <c r="D15" s="510">
        <f>D14-D13</f>
        <v>81.143419344936007</v>
      </c>
      <c r="E15" s="510">
        <f>E14-E13</f>
        <v>95.899943340198377</v>
      </c>
      <c r="F15" s="510">
        <f t="shared" ref="F15:J15" si="2">F14-F13</f>
        <v>-63.256796012190478</v>
      </c>
      <c r="G15" s="510">
        <f t="shared" si="2"/>
        <v>-80.557484394973045</v>
      </c>
      <c r="H15" s="510">
        <f t="shared" si="2"/>
        <v>-79.553003815375888</v>
      </c>
      <c r="I15" s="21">
        <f t="shared" si="2"/>
        <v>177.0433626851343</v>
      </c>
      <c r="J15" s="23">
        <f t="shared" si="2"/>
        <v>-46.323921537404885</v>
      </c>
      <c r="K15" s="797"/>
      <c r="L15" s="797"/>
      <c r="M15" s="797"/>
      <c r="N15" s="135"/>
      <c r="O15" s="135"/>
      <c r="P15" s="135"/>
      <c r="Q15" s="104"/>
      <c r="R15" s="104"/>
      <c r="S15" s="104"/>
    </row>
    <row r="16" spans="1:19">
      <c r="B16" s="79"/>
      <c r="C16" s="480"/>
      <c r="D16" s="484"/>
      <c r="E16" s="484"/>
      <c r="F16" s="484"/>
      <c r="G16" s="484"/>
      <c r="H16" s="484"/>
      <c r="I16" s="484"/>
      <c r="J16" s="484"/>
      <c r="K16" s="485"/>
      <c r="L16" s="485"/>
      <c r="M16" s="485"/>
      <c r="N16" s="485"/>
      <c r="O16" s="485"/>
      <c r="P16" s="485"/>
      <c r="Q16" s="104"/>
      <c r="R16" s="104"/>
      <c r="S16" s="104"/>
    </row>
    <row r="17" spans="2:19">
      <c r="B17" s="401" t="s">
        <v>471</v>
      </c>
      <c r="C17" s="29" t="s">
        <v>383</v>
      </c>
      <c r="D17" s="515">
        <f>INDEX(Data!$C$56:$C$84,MATCH('RFPR cover'!$C$7,Data!$B$56:$B$84,0),0)</f>
        <v>0.51</v>
      </c>
      <c r="E17" s="515">
        <f>INDEX(Data!$C$56:$C$84,MATCH('RFPR cover'!$C$7,Data!$B$56:$B$84,0),0)</f>
        <v>0.51</v>
      </c>
      <c r="F17" s="515">
        <f>INDEX(Data!$C$56:$C$84,MATCH('RFPR cover'!$C$7,Data!$B$56:$B$84,0),0)</f>
        <v>0.51</v>
      </c>
      <c r="G17" s="515">
        <f>INDEX(Data!$C$56:$C$84,MATCH('RFPR cover'!$C$7,Data!$B$56:$B$84,0),0)</f>
        <v>0.51</v>
      </c>
      <c r="H17" s="515">
        <f>INDEX(Data!$C$56:$C$84,MATCH('RFPR cover'!$C$7,Data!$B$56:$B$84,0),0)</f>
        <v>0.51</v>
      </c>
      <c r="I17" s="486"/>
      <c r="J17" s="486"/>
      <c r="K17" s="104"/>
      <c r="L17" s="104"/>
      <c r="M17" s="104"/>
      <c r="N17" s="104"/>
      <c r="O17" s="104"/>
      <c r="P17" s="104"/>
      <c r="Q17" s="104"/>
      <c r="R17" s="104"/>
      <c r="S17" s="104"/>
    </row>
    <row r="18" spans="2:19">
      <c r="K18" s="104"/>
      <c r="L18" s="104"/>
      <c r="M18" s="104"/>
      <c r="N18" s="104"/>
      <c r="O18" s="104"/>
      <c r="P18" s="104"/>
      <c r="Q18" s="104"/>
      <c r="R18" s="104"/>
      <c r="S18" s="104"/>
    </row>
    <row r="19" spans="2:19">
      <c r="B19" s="401" t="s">
        <v>472</v>
      </c>
      <c r="C19" s="480" t="str">
        <f>Data!$C$9</f>
        <v>£m 18/19</v>
      </c>
      <c r="D19" s="510">
        <f>D15*D17</f>
        <v>41.383143865917361</v>
      </c>
      <c r="E19" s="510">
        <f t="shared" ref="E19:H19" si="3">E15*E17</f>
        <v>48.908971103501173</v>
      </c>
      <c r="F19" s="510">
        <f t="shared" si="3"/>
        <v>-32.260965966217142</v>
      </c>
      <c r="G19" s="510">
        <f t="shared" si="3"/>
        <v>-41.08431704143625</v>
      </c>
      <c r="H19" s="510">
        <f t="shared" si="3"/>
        <v>-40.572031945841701</v>
      </c>
      <c r="I19" s="18">
        <f>SUM(D19:INDEX(D19:H19,0,MATCH('RFPR cover'!$C$9,$D$6:$H$6,0)))</f>
        <v>90.292114969418535</v>
      </c>
      <c r="J19" s="20">
        <f>SUM(D19:H19)</f>
        <v>-23.625199984076559</v>
      </c>
      <c r="K19" s="104"/>
      <c r="L19" s="104"/>
      <c r="M19" s="104"/>
      <c r="N19" s="104"/>
      <c r="O19" s="104"/>
      <c r="P19" s="104"/>
      <c r="Q19" s="104"/>
      <c r="R19" s="104"/>
      <c r="S19" s="104"/>
    </row>
    <row r="20" spans="2:19">
      <c r="B20" s="401" t="s">
        <v>473</v>
      </c>
      <c r="C20" s="480" t="str">
        <f>Data!$C$9</f>
        <v>£m 18/19</v>
      </c>
      <c r="D20" s="510">
        <f>D15*(1-D17)</f>
        <v>39.760275479018645</v>
      </c>
      <c r="E20" s="510">
        <f t="shared" ref="E20:H20" si="4">E15*(1-E17)</f>
        <v>46.990972236697203</v>
      </c>
      <c r="F20" s="510">
        <f t="shared" si="4"/>
        <v>-30.995830045973335</v>
      </c>
      <c r="G20" s="510">
        <f t="shared" si="4"/>
        <v>-39.473167353536795</v>
      </c>
      <c r="H20" s="510">
        <f t="shared" si="4"/>
        <v>-38.980971869534187</v>
      </c>
      <c r="I20" s="15">
        <f>SUM(D20:INDEX(D20:H20,0,MATCH('RFPR cover'!$C$9,$D$6:$H$6,0)))</f>
        <v>86.751247715715849</v>
      </c>
      <c r="J20" s="17">
        <f>SUM(D20:H20)</f>
        <v>-22.698721553328468</v>
      </c>
      <c r="L20" s="104"/>
      <c r="M20" s="104"/>
      <c r="N20" s="104"/>
      <c r="O20" s="104"/>
      <c r="P20" s="104"/>
      <c r="Q20" s="104"/>
      <c r="R20" s="104"/>
      <c r="S20" s="104"/>
    </row>
    <row r="21" spans="2:19">
      <c r="C21" s="401"/>
      <c r="D21" s="401"/>
      <c r="E21" s="401"/>
      <c r="F21" s="401"/>
      <c r="G21" s="401"/>
      <c r="H21" s="401"/>
      <c r="I21" s="401"/>
      <c r="J21" s="401"/>
      <c r="L21" s="104"/>
      <c r="M21" s="104"/>
      <c r="N21" s="104"/>
      <c r="O21" s="104"/>
      <c r="P21" s="104"/>
      <c r="Q21" s="104"/>
      <c r="R21" s="104"/>
      <c r="S21" s="104"/>
    </row>
    <row r="22" spans="2:19">
      <c r="B22" s="408" t="s">
        <v>474</v>
      </c>
      <c r="L22" s="104"/>
      <c r="M22" s="104"/>
      <c r="N22" s="104"/>
      <c r="O22" s="104"/>
      <c r="P22" s="104"/>
    </row>
    <row r="23" spans="2:19">
      <c r="B23" s="414" t="s">
        <v>804</v>
      </c>
      <c r="C23" s="480" t="str">
        <f>Data!$C$9</f>
        <v>£m 18/19</v>
      </c>
      <c r="D23" s="487">
        <v>-81.143419344936007</v>
      </c>
      <c r="E23" s="487">
        <v>-95.899943340198377</v>
      </c>
      <c r="F23" s="487">
        <v>63.256796012190478</v>
      </c>
      <c r="G23" s="487">
        <v>80.557484394973045</v>
      </c>
      <c r="H23" s="487">
        <v>79.553003815375888</v>
      </c>
      <c r="I23" s="15">
        <f>SUM(D23:INDEX(D23:H23,0,MATCH('RFPR cover'!$C$9,$D$6:$H$6,0)))</f>
        <v>-177.04336268513438</v>
      </c>
      <c r="J23" s="17">
        <f t="shared" ref="J23:J28" si="5">SUM(D23:H23)</f>
        <v>46.323921537405027</v>
      </c>
      <c r="L23" s="104"/>
      <c r="M23" s="104"/>
      <c r="N23" s="104"/>
      <c r="O23" s="104"/>
      <c r="P23" s="104"/>
      <c r="Q23" s="104"/>
      <c r="R23" s="104"/>
      <c r="S23" s="104"/>
    </row>
    <row r="24" spans="2:19">
      <c r="B24" s="414" t="s">
        <v>805</v>
      </c>
      <c r="C24" s="480"/>
      <c r="D24" s="487">
        <v>0</v>
      </c>
      <c r="E24" s="487">
        <v>0</v>
      </c>
      <c r="F24" s="487">
        <v>0</v>
      </c>
      <c r="G24" s="487">
        <v>0</v>
      </c>
      <c r="H24" s="487">
        <v>0</v>
      </c>
      <c r="I24" s="15">
        <f>SUM(D24:INDEX(D24:H24,0,MATCH('RFPR cover'!$C$9,$D$6:$H$6,0)))</f>
        <v>0</v>
      </c>
      <c r="J24" s="17">
        <f t="shared" si="5"/>
        <v>0</v>
      </c>
      <c r="L24" s="104"/>
      <c r="M24" s="104"/>
      <c r="N24" s="104"/>
      <c r="O24" s="104"/>
      <c r="P24" s="104"/>
      <c r="Q24" s="104"/>
      <c r="R24" s="104"/>
      <c r="S24" s="104"/>
    </row>
    <row r="25" spans="2:19">
      <c r="B25" s="414" t="s">
        <v>805</v>
      </c>
      <c r="C25" s="480"/>
      <c r="D25" s="487">
        <v>0</v>
      </c>
      <c r="E25" s="487">
        <v>0</v>
      </c>
      <c r="F25" s="487">
        <v>0</v>
      </c>
      <c r="G25" s="487">
        <v>0</v>
      </c>
      <c r="H25" s="487">
        <v>0</v>
      </c>
      <c r="I25" s="15">
        <f>SUM(D25:INDEX(D25:H25,0,MATCH('RFPR cover'!$C$9,$D$6:$H$6,0)))</f>
        <v>0</v>
      </c>
      <c r="J25" s="17">
        <f t="shared" si="5"/>
        <v>0</v>
      </c>
      <c r="L25" s="104"/>
      <c r="M25" s="104"/>
      <c r="N25" s="104"/>
      <c r="O25" s="104"/>
      <c r="P25" s="104"/>
      <c r="Q25" s="104"/>
      <c r="R25" s="104"/>
      <c r="S25" s="104"/>
    </row>
    <row r="26" spans="2:19">
      <c r="B26" s="414" t="s">
        <v>805</v>
      </c>
      <c r="C26" s="480"/>
      <c r="D26" s="487">
        <v>0</v>
      </c>
      <c r="E26" s="487">
        <v>0</v>
      </c>
      <c r="F26" s="487">
        <v>0</v>
      </c>
      <c r="G26" s="487">
        <v>0</v>
      </c>
      <c r="H26" s="487">
        <v>0</v>
      </c>
      <c r="I26" s="15">
        <f>SUM(D26:INDEX(D26:H26,0,MATCH('RFPR cover'!$C$9,$D$6:$H$6,0)))</f>
        <v>0</v>
      </c>
      <c r="J26" s="17">
        <f t="shared" si="5"/>
        <v>0</v>
      </c>
      <c r="L26" s="104"/>
      <c r="M26" s="104"/>
      <c r="N26" s="104"/>
      <c r="O26" s="104"/>
      <c r="P26" s="104"/>
      <c r="Q26" s="104"/>
      <c r="R26" s="104"/>
      <c r="S26" s="104"/>
    </row>
    <row r="27" spans="2:19">
      <c r="B27" s="414" t="s">
        <v>805</v>
      </c>
      <c r="C27" s="480"/>
      <c r="D27" s="487">
        <v>0</v>
      </c>
      <c r="E27" s="487">
        <v>0</v>
      </c>
      <c r="F27" s="487">
        <v>0</v>
      </c>
      <c r="G27" s="487">
        <v>0</v>
      </c>
      <c r="H27" s="487">
        <v>0</v>
      </c>
      <c r="I27" s="15">
        <f>SUM(D27:INDEX(D27:H27,0,MATCH('RFPR cover'!$C$9,$D$6:$H$6,0)))</f>
        <v>0</v>
      </c>
      <c r="J27" s="17">
        <f t="shared" si="5"/>
        <v>0</v>
      </c>
      <c r="L27" s="104"/>
      <c r="M27" s="104"/>
      <c r="N27" s="104"/>
      <c r="O27" s="104"/>
      <c r="P27" s="104"/>
      <c r="Q27" s="104"/>
      <c r="R27" s="104"/>
      <c r="S27" s="104"/>
    </row>
    <row r="28" spans="2:19">
      <c r="B28" s="414" t="s">
        <v>805</v>
      </c>
      <c r="C28" s="480"/>
      <c r="D28" s="487">
        <v>0</v>
      </c>
      <c r="E28" s="487">
        <v>0</v>
      </c>
      <c r="F28" s="487">
        <v>0</v>
      </c>
      <c r="G28" s="487">
        <v>0</v>
      </c>
      <c r="H28" s="487">
        <v>0</v>
      </c>
      <c r="I28" s="15">
        <f>SUM(D28:INDEX(D28:H28,0,MATCH('RFPR cover'!$C$9,$D$6:$H$6,0)))</f>
        <v>0</v>
      </c>
      <c r="J28" s="17">
        <f t="shared" si="5"/>
        <v>0</v>
      </c>
      <c r="L28" s="104"/>
      <c r="M28" s="104"/>
      <c r="N28" s="104"/>
      <c r="O28" s="104"/>
      <c r="P28" s="104"/>
      <c r="Q28" s="104"/>
      <c r="R28" s="104"/>
      <c r="S28" s="104"/>
    </row>
    <row r="29" spans="2:19">
      <c r="B29" s="414" t="s">
        <v>805</v>
      </c>
      <c r="C29" s="480" t="str">
        <f>Data!$C$9</f>
        <v>£m 18/19</v>
      </c>
      <c r="D29" s="487">
        <v>0</v>
      </c>
      <c r="E29" s="487">
        <v>0</v>
      </c>
      <c r="F29" s="487">
        <v>0</v>
      </c>
      <c r="G29" s="487">
        <v>0</v>
      </c>
      <c r="H29" s="487">
        <v>0</v>
      </c>
      <c r="I29" s="15">
        <f>SUM(D29:INDEX(D29:H29,0,MATCH('RFPR cover'!$C$9,$D$6:$H$6,0)))</f>
        <v>0</v>
      </c>
      <c r="J29" s="17">
        <f t="shared" ref="J29" si="6">SUM(D29:H29)</f>
        <v>0</v>
      </c>
      <c r="L29" s="104"/>
      <c r="M29" s="104"/>
      <c r="N29" s="104"/>
      <c r="O29" s="104"/>
      <c r="P29" s="104"/>
      <c r="Q29" s="104"/>
      <c r="R29" s="104"/>
      <c r="S29" s="104"/>
    </row>
    <row r="30" spans="2:19">
      <c r="B30" s="408" t="s">
        <v>475</v>
      </c>
      <c r="C30" s="480" t="str">
        <f>Data!$C$9</f>
        <v>£m 18/19</v>
      </c>
      <c r="D30" s="510">
        <f>SUM(D23:D29)</f>
        <v>-81.143419344936007</v>
      </c>
      <c r="E30" s="510">
        <f t="shared" ref="E30:H30" si="7">SUM(E23:E29)</f>
        <v>-95.899943340198377</v>
      </c>
      <c r="F30" s="510">
        <f t="shared" si="7"/>
        <v>63.256796012190478</v>
      </c>
      <c r="G30" s="510">
        <f t="shared" si="7"/>
        <v>80.557484394973045</v>
      </c>
      <c r="H30" s="510">
        <f t="shared" si="7"/>
        <v>79.553003815375888</v>
      </c>
      <c r="I30" s="15">
        <f>SUM(D30:INDEX(D30:H30,0,MATCH('RFPR cover'!$C$9,$D$6:$H$6,0)))</f>
        <v>-177.04336268513438</v>
      </c>
      <c r="J30" s="17">
        <f t="shared" ref="J30" si="8">SUM(D30:H30)</f>
        <v>46.323921537405027</v>
      </c>
      <c r="L30" s="104"/>
      <c r="M30" s="104"/>
      <c r="N30" s="104"/>
      <c r="O30" s="104"/>
      <c r="P30" s="104"/>
      <c r="Q30" s="104"/>
      <c r="R30" s="104"/>
      <c r="S30" s="104"/>
    </row>
    <row r="31" spans="2:19">
      <c r="B31" s="408"/>
      <c r="L31" s="104"/>
      <c r="M31" s="104"/>
      <c r="N31" s="104"/>
      <c r="O31" s="104"/>
      <c r="P31" s="104"/>
      <c r="Q31" s="104"/>
      <c r="R31" s="104"/>
      <c r="S31" s="104"/>
    </row>
    <row r="32" spans="2:19">
      <c r="B32" s="408" t="s">
        <v>476</v>
      </c>
      <c r="L32" s="104"/>
      <c r="M32" s="104"/>
      <c r="N32" s="104"/>
      <c r="O32" s="104"/>
      <c r="P32" s="104"/>
      <c r="Q32" s="104"/>
      <c r="R32" s="104"/>
      <c r="S32" s="104"/>
    </row>
    <row r="33" spans="2:19">
      <c r="B33" s="414" t="s">
        <v>806</v>
      </c>
      <c r="C33" s="480" t="str">
        <f>Data!$C$9</f>
        <v>£m 18/19</v>
      </c>
      <c r="D33" s="487">
        <v>0</v>
      </c>
      <c r="E33" s="487">
        <v>0</v>
      </c>
      <c r="F33" s="487">
        <v>0</v>
      </c>
      <c r="G33" s="487">
        <v>0</v>
      </c>
      <c r="H33" s="487">
        <v>0</v>
      </c>
      <c r="I33" s="15">
        <f>SUM(D33:INDEX(D33:H33,0,MATCH('RFPR cover'!$C$9,$D$6:$H$6,0)))</f>
        <v>0</v>
      </c>
      <c r="J33" s="17">
        <f>SUM(D33:H33)</f>
        <v>0</v>
      </c>
      <c r="L33" s="104"/>
      <c r="M33" s="104"/>
      <c r="N33" s="104"/>
      <c r="O33" s="104"/>
      <c r="P33" s="104"/>
      <c r="Q33" s="104"/>
      <c r="R33" s="104"/>
      <c r="S33" s="104"/>
    </row>
    <row r="34" spans="2:19">
      <c r="B34" s="414" t="s">
        <v>805</v>
      </c>
      <c r="C34" s="480" t="str">
        <f>Data!$C$9</f>
        <v>£m 18/19</v>
      </c>
      <c r="D34" s="487">
        <v>0</v>
      </c>
      <c r="E34" s="487">
        <v>0</v>
      </c>
      <c r="F34" s="487">
        <v>0</v>
      </c>
      <c r="G34" s="487">
        <v>0</v>
      </c>
      <c r="H34" s="487">
        <v>0</v>
      </c>
      <c r="I34" s="15">
        <f>SUM(D34:INDEX(D34:H34,0,MATCH('RFPR cover'!$C$9,$D$6:$H$6,0)))</f>
        <v>0</v>
      </c>
      <c r="J34" s="17">
        <f t="shared" ref="J34:J35" si="9">SUM(D34:H34)</f>
        <v>0</v>
      </c>
      <c r="L34" s="104"/>
      <c r="M34" s="104"/>
      <c r="N34" s="104"/>
      <c r="O34" s="104"/>
      <c r="P34" s="104"/>
      <c r="Q34" s="104"/>
      <c r="R34" s="104"/>
      <c r="S34" s="104"/>
    </row>
    <row r="35" spans="2:19">
      <c r="B35" s="408" t="s">
        <v>475</v>
      </c>
      <c r="C35" s="480" t="str">
        <f>Data!$C$9</f>
        <v>£m 18/19</v>
      </c>
      <c r="D35" s="510">
        <f>SUM(D33:D34)</f>
        <v>0</v>
      </c>
      <c r="E35" s="510">
        <f t="shared" ref="E35:H35" si="10">SUM(E33:E34)</f>
        <v>0</v>
      </c>
      <c r="F35" s="510">
        <f t="shared" si="10"/>
        <v>0</v>
      </c>
      <c r="G35" s="510">
        <f t="shared" si="10"/>
        <v>0</v>
      </c>
      <c r="H35" s="510">
        <f t="shared" si="10"/>
        <v>0</v>
      </c>
      <c r="I35" s="15">
        <f>SUM(D35:INDEX(D35:H35,0,MATCH('RFPR cover'!$C$9,$D$6:$H$6,0)))</f>
        <v>0</v>
      </c>
      <c r="J35" s="17">
        <f t="shared" si="9"/>
        <v>0</v>
      </c>
      <c r="L35" s="104"/>
      <c r="M35" s="104"/>
      <c r="N35" s="104"/>
      <c r="O35" s="104"/>
      <c r="P35" s="104"/>
      <c r="Q35" s="104"/>
      <c r="R35" s="104"/>
      <c r="S35" s="104"/>
    </row>
    <row r="36" spans="2:19">
      <c r="B36" s="408"/>
      <c r="L36" s="104"/>
      <c r="M36" s="104"/>
      <c r="N36" s="104"/>
      <c r="O36" s="104"/>
      <c r="P36" s="104"/>
      <c r="Q36" s="104"/>
      <c r="R36" s="104"/>
      <c r="S36" s="104"/>
    </row>
    <row r="37" spans="2:19">
      <c r="B37" s="401" t="s">
        <v>477</v>
      </c>
      <c r="C37" s="480"/>
      <c r="D37" s="510">
        <f>D30*D17</f>
        <v>-41.383143865917361</v>
      </c>
      <c r="E37" s="510">
        <f t="shared" ref="E37:H37" si="11">E30*E17</f>
        <v>-48.908971103501173</v>
      </c>
      <c r="F37" s="510">
        <f t="shared" si="11"/>
        <v>32.260965966217142</v>
      </c>
      <c r="G37" s="510">
        <f t="shared" si="11"/>
        <v>41.08431704143625</v>
      </c>
      <c r="H37" s="510">
        <f t="shared" si="11"/>
        <v>40.572031945841701</v>
      </c>
      <c r="I37" s="18">
        <f>SUM(D37:INDEX(D37:H37,0,MATCH('RFPR cover'!$C$9,$D$6:$H$6,0)))</f>
        <v>-90.292114969418535</v>
      </c>
      <c r="J37" s="20">
        <f>SUM(D37:H37)</f>
        <v>23.625199984076559</v>
      </c>
      <c r="L37" s="104"/>
      <c r="M37" s="104"/>
      <c r="N37" s="104"/>
      <c r="O37" s="104"/>
      <c r="P37" s="104"/>
      <c r="Q37" s="104"/>
      <c r="R37" s="104"/>
      <c r="S37" s="104"/>
    </row>
    <row r="38" spans="2:19">
      <c r="B38" s="401" t="s">
        <v>478</v>
      </c>
      <c r="C38" s="480"/>
      <c r="D38" s="510">
        <f>D30*(1-D17)+D35</f>
        <v>-39.760275479018645</v>
      </c>
      <c r="E38" s="510">
        <f t="shared" ref="E38:H38" si="12">E30*(1-E17)+E35</f>
        <v>-46.990972236697203</v>
      </c>
      <c r="F38" s="510">
        <f t="shared" si="12"/>
        <v>30.995830045973335</v>
      </c>
      <c r="G38" s="510">
        <f t="shared" si="12"/>
        <v>39.473167353536795</v>
      </c>
      <c r="H38" s="510">
        <f t="shared" si="12"/>
        <v>38.980971869534187</v>
      </c>
      <c r="I38" s="18">
        <f>SUM(D38:INDEX(D38:H38,0,MATCH('RFPR cover'!$C$9,$D$6:$H$6,0)))</f>
        <v>-86.751247715715849</v>
      </c>
      <c r="J38" s="17">
        <f>SUM(D38:H38)</f>
        <v>22.698721553328468</v>
      </c>
      <c r="L38" s="104"/>
      <c r="M38" s="104"/>
      <c r="N38" s="104"/>
      <c r="O38" s="104"/>
      <c r="P38" s="104"/>
      <c r="Q38" s="104"/>
      <c r="R38" s="104"/>
      <c r="S38" s="104"/>
    </row>
    <row r="39" spans="2:19">
      <c r="B39" s="408"/>
      <c r="L39" s="104"/>
      <c r="M39" s="104"/>
      <c r="N39" s="104"/>
      <c r="O39" s="104"/>
      <c r="P39" s="104"/>
      <c r="Q39" s="104"/>
      <c r="R39" s="104"/>
      <c r="S39" s="104"/>
    </row>
    <row r="40" spans="2:19">
      <c r="B40" s="408" t="s">
        <v>479</v>
      </c>
      <c r="L40" s="104"/>
      <c r="M40" s="104"/>
      <c r="N40" s="104"/>
      <c r="O40" s="104"/>
      <c r="P40" s="104"/>
      <c r="Q40" s="104"/>
      <c r="R40" s="104"/>
      <c r="S40" s="104"/>
    </row>
    <row r="41" spans="2:19">
      <c r="B41" s="401" t="s">
        <v>472</v>
      </c>
      <c r="C41" s="480" t="str">
        <f>Data!$C$9</f>
        <v>£m 18/19</v>
      </c>
      <c r="D41" s="510">
        <f>D19+D37</f>
        <v>0</v>
      </c>
      <c r="E41" s="510">
        <f t="shared" ref="E41:H41" si="13">E19+E37</f>
        <v>0</v>
      </c>
      <c r="F41" s="510">
        <f t="shared" si="13"/>
        <v>0</v>
      </c>
      <c r="G41" s="510">
        <f t="shared" si="13"/>
        <v>0</v>
      </c>
      <c r="H41" s="510">
        <f t="shared" si="13"/>
        <v>0</v>
      </c>
      <c r="I41" s="18">
        <f>SUM(D41:INDEX(D41:H41,0,MATCH('RFPR cover'!$C$9,$D$6:$H$6,0)))</f>
        <v>0</v>
      </c>
      <c r="J41" s="20">
        <f>SUM(D41:H41)</f>
        <v>0</v>
      </c>
      <c r="L41" s="104"/>
      <c r="M41" s="104"/>
      <c r="N41" s="104"/>
      <c r="O41" s="104"/>
      <c r="P41" s="104"/>
      <c r="Q41" s="104"/>
      <c r="R41" s="104"/>
      <c r="S41" s="104"/>
    </row>
    <row r="42" spans="2:19">
      <c r="B42" s="401" t="s">
        <v>473</v>
      </c>
      <c r="C42" s="480" t="str">
        <f>Data!$C$9</f>
        <v>£m 18/19</v>
      </c>
      <c r="D42" s="510">
        <f>D20+D38</f>
        <v>0</v>
      </c>
      <c r="E42" s="510">
        <f t="shared" ref="E42:H42" si="14">E20+E38</f>
        <v>0</v>
      </c>
      <c r="F42" s="510">
        <f t="shared" si="14"/>
        <v>0</v>
      </c>
      <c r="G42" s="510">
        <f t="shared" si="14"/>
        <v>0</v>
      </c>
      <c r="H42" s="510">
        <f t="shared" si="14"/>
        <v>0</v>
      </c>
      <c r="I42" s="18">
        <f>SUM(D42:INDEX(D42:H42,0,MATCH('RFPR cover'!$C$9,$D$6:$H$6,0)))</f>
        <v>0</v>
      </c>
      <c r="J42" s="17">
        <f t="shared" ref="J42" si="15">SUM(D42:H42)</f>
        <v>0</v>
      </c>
      <c r="L42" s="104"/>
      <c r="M42" s="104"/>
      <c r="N42" s="104"/>
      <c r="O42" s="104"/>
      <c r="P42" s="104"/>
      <c r="Q42" s="104"/>
      <c r="R42" s="104"/>
      <c r="S42" s="104"/>
    </row>
    <row r="43" spans="2:19">
      <c r="B43" s="408" t="s">
        <v>480</v>
      </c>
      <c r="C43" s="488" t="str">
        <f>Data!$C$9</f>
        <v>£m 18/19</v>
      </c>
      <c r="D43" s="510">
        <f>SUM(D41:D42)</f>
        <v>0</v>
      </c>
      <c r="E43" s="510">
        <f t="shared" ref="E43:H43" si="16">SUM(E41:E42)</f>
        <v>0</v>
      </c>
      <c r="F43" s="510">
        <f t="shared" si="16"/>
        <v>0</v>
      </c>
      <c r="G43" s="510">
        <f t="shared" si="16"/>
        <v>0</v>
      </c>
      <c r="H43" s="510">
        <f t="shared" si="16"/>
        <v>0</v>
      </c>
      <c r="I43" s="15">
        <f>SUM(D43:INDEX(D43:H43,0,MATCH('RFPR cover'!$C$9,$D$6:$H$6,0)))</f>
        <v>0</v>
      </c>
      <c r="J43" s="17">
        <f t="shared" ref="J43" si="17">SUM(D43:H43)</f>
        <v>0</v>
      </c>
      <c r="L43" s="104"/>
      <c r="M43" s="104"/>
      <c r="N43" s="104"/>
      <c r="O43" s="104"/>
      <c r="P43" s="104"/>
      <c r="Q43" s="104"/>
      <c r="R43" s="104"/>
      <c r="S43" s="104"/>
    </row>
    <row r="44" spans="2:19">
      <c r="B44" s="408"/>
      <c r="L44" s="104"/>
      <c r="M44" s="104"/>
      <c r="N44" s="104"/>
      <c r="O44" s="104"/>
      <c r="P44" s="104"/>
      <c r="Q44" s="104"/>
      <c r="R44" s="104"/>
      <c r="S44" s="104"/>
    </row>
    <row r="45" spans="2:19">
      <c r="B45" s="477" t="str">
        <f>IF(Sector="GD2","Capitalisation 2 totex (excluding repex)","Capitalisation 2 totex")</f>
        <v>Capitalisation 2 totex</v>
      </c>
      <c r="C45" s="404"/>
      <c r="D45" s="406"/>
      <c r="E45" s="406"/>
      <c r="F45" s="406"/>
      <c r="G45" s="406"/>
      <c r="H45" s="406"/>
      <c r="I45" s="406"/>
      <c r="J45" s="406"/>
    </row>
    <row r="46" spans="2:19">
      <c r="D46" s="479"/>
      <c r="E46" s="479"/>
      <c r="F46" s="479"/>
      <c r="G46" s="479"/>
      <c r="H46" s="479"/>
      <c r="I46" s="479"/>
      <c r="J46" s="479"/>
    </row>
    <row r="47" spans="2:19">
      <c r="B47" s="80" t="s">
        <v>468</v>
      </c>
      <c r="C47" s="480" t="str">
        <f>Data!$C$9</f>
        <v>£m 18/19</v>
      </c>
      <c r="D47" s="481">
        <v>16.385769936480557</v>
      </c>
      <c r="E47" s="481">
        <v>34.992254504599352</v>
      </c>
      <c r="F47" s="481">
        <v>232.07428730996861</v>
      </c>
      <c r="G47" s="481">
        <v>308.54884756440538</v>
      </c>
      <c r="H47" s="481">
        <v>541.2241232277371</v>
      </c>
      <c r="I47" s="516">
        <f>SUM(D47:INDEX(D47:H47,0,MATCH('RFPR cover'!$C$9,$D$6:$H$6,0)))</f>
        <v>51.378024441079909</v>
      </c>
      <c r="J47" s="517">
        <f>SUM(D47:H47)</f>
        <v>1133.225282543191</v>
      </c>
      <c r="K47" s="483"/>
    </row>
    <row r="48" spans="2:19" ht="15" customHeight="1">
      <c r="B48" s="482" t="s">
        <v>481</v>
      </c>
      <c r="C48" s="480" t="str">
        <f>Data!$C$9</f>
        <v>£m 18/19</v>
      </c>
      <c r="D48" s="481">
        <v>19.676150097824294</v>
      </c>
      <c r="E48" s="481">
        <v>68.375561153246579</v>
      </c>
      <c r="F48" s="481">
        <v>263.95087979032871</v>
      </c>
      <c r="G48" s="481">
        <v>331.06444371174206</v>
      </c>
      <c r="H48" s="481">
        <v>474.78203895748385</v>
      </c>
      <c r="I48" s="518">
        <f>SUM(D48:INDEX(D48:H48,0,MATCH('RFPR cover'!$C$9,$D$6:$H$6,0)))</f>
        <v>88.05171125107087</v>
      </c>
      <c r="J48" s="519">
        <f>SUM(D48:H48)</f>
        <v>1157.8490737106254</v>
      </c>
      <c r="K48" s="483"/>
    </row>
    <row r="49" spans="2:19">
      <c r="B49" s="79" t="s">
        <v>470</v>
      </c>
      <c r="C49" s="480" t="str">
        <f>Data!$C$9</f>
        <v>£m 18/19</v>
      </c>
      <c r="D49" s="510">
        <f>D48-D47</f>
        <v>3.2903801613437373</v>
      </c>
      <c r="E49" s="510">
        <f t="shared" ref="E49:J49" si="18">E48-E47</f>
        <v>33.383306648647228</v>
      </c>
      <c r="F49" s="510">
        <f t="shared" si="18"/>
        <v>31.876592480360102</v>
      </c>
      <c r="G49" s="510">
        <f t="shared" si="18"/>
        <v>22.51559614733668</v>
      </c>
      <c r="H49" s="510">
        <f t="shared" si="18"/>
        <v>-66.442084270253247</v>
      </c>
      <c r="I49" s="152">
        <f t="shared" si="18"/>
        <v>36.673686809990961</v>
      </c>
      <c r="J49" s="259">
        <f t="shared" si="18"/>
        <v>24.62379116743432</v>
      </c>
      <c r="K49" s="135"/>
      <c r="L49" s="135"/>
      <c r="M49" s="135"/>
      <c r="N49" s="135"/>
      <c r="O49" s="135"/>
      <c r="P49" s="135"/>
      <c r="Q49" s="104"/>
      <c r="R49" s="104"/>
      <c r="S49" s="104"/>
    </row>
    <row r="50" spans="2:19">
      <c r="B50" s="79"/>
      <c r="C50" s="480"/>
      <c r="D50" s="484"/>
      <c r="E50" s="484"/>
      <c r="F50" s="484"/>
      <c r="G50" s="484"/>
      <c r="H50" s="484"/>
      <c r="I50" s="484"/>
      <c r="J50" s="484"/>
      <c r="K50" s="485"/>
      <c r="L50" s="485"/>
      <c r="M50" s="485"/>
      <c r="N50" s="485"/>
      <c r="O50" s="485"/>
      <c r="P50" s="485"/>
      <c r="Q50" s="104"/>
      <c r="R50" s="104"/>
      <c r="S50" s="104"/>
    </row>
    <row r="51" spans="2:19">
      <c r="B51" s="401" t="s">
        <v>471</v>
      </c>
      <c r="C51" s="29" t="s">
        <v>383</v>
      </c>
      <c r="D51" s="520">
        <f>INDEX(Data!$C$56:$C$84,MATCH('RFPR cover'!$C$7,Data!$B$56:$B$84,0),0)</f>
        <v>0.51</v>
      </c>
      <c r="E51" s="520">
        <f>INDEX(Data!$C$56:$C$84,MATCH('RFPR cover'!$C$7,Data!$B$56:$B$84,0),0)</f>
        <v>0.51</v>
      </c>
      <c r="F51" s="520">
        <f>INDEX(Data!$C$56:$C$84,MATCH('RFPR cover'!$C$7,Data!$B$56:$B$84,0),0)</f>
        <v>0.51</v>
      </c>
      <c r="G51" s="520">
        <f>INDEX(Data!$C$56:$C$84,MATCH('RFPR cover'!$C$7,Data!$B$56:$B$84,0),0)</f>
        <v>0.51</v>
      </c>
      <c r="H51" s="520">
        <f>INDEX(Data!$C$56:$C$84,MATCH('RFPR cover'!$C$7,Data!$B$56:$B$84,0),0)</f>
        <v>0.51</v>
      </c>
      <c r="I51" s="486"/>
      <c r="J51" s="486"/>
      <c r="K51" s="104"/>
      <c r="L51" s="104"/>
      <c r="M51" s="104"/>
      <c r="N51" s="104"/>
      <c r="O51" s="104"/>
      <c r="P51" s="104"/>
      <c r="Q51" s="104"/>
      <c r="R51" s="104"/>
      <c r="S51" s="104"/>
    </row>
    <row r="52" spans="2:19">
      <c r="K52" s="104"/>
      <c r="L52" s="104"/>
      <c r="M52" s="104"/>
      <c r="N52" s="104"/>
      <c r="O52" s="104"/>
      <c r="P52" s="104"/>
      <c r="Q52" s="104"/>
      <c r="R52" s="104"/>
      <c r="S52" s="104"/>
    </row>
    <row r="53" spans="2:19">
      <c r="B53" s="401" t="s">
        <v>472</v>
      </c>
      <c r="C53" s="480" t="str">
        <f>Data!$C$9</f>
        <v>£m 18/19</v>
      </c>
      <c r="D53" s="510">
        <f>D49*D51</f>
        <v>1.678093882285306</v>
      </c>
      <c r="E53" s="510">
        <f t="shared" ref="E53:H53" si="19">E49*E51</f>
        <v>17.025486390810087</v>
      </c>
      <c r="F53" s="510">
        <f t="shared" si="19"/>
        <v>16.257062164983651</v>
      </c>
      <c r="G53" s="510">
        <f t="shared" si="19"/>
        <v>11.482954035141708</v>
      </c>
      <c r="H53" s="510">
        <f t="shared" si="19"/>
        <v>-33.885462977829157</v>
      </c>
      <c r="I53" s="51">
        <f>SUM(D53:INDEX(D53:H53,0,MATCH('RFPR cover'!$C$9,$D$6:$H$6,0)))</f>
        <v>18.703580273095394</v>
      </c>
      <c r="J53" s="75">
        <f>SUM(D53:H53)</f>
        <v>12.558133495391601</v>
      </c>
      <c r="K53" s="104"/>
      <c r="L53" s="104"/>
      <c r="M53" s="104"/>
      <c r="N53" s="104"/>
      <c r="O53" s="104"/>
      <c r="P53" s="104"/>
      <c r="Q53" s="104"/>
      <c r="R53" s="104"/>
      <c r="S53" s="104"/>
    </row>
    <row r="54" spans="2:19">
      <c r="B54" s="401" t="s">
        <v>473</v>
      </c>
      <c r="C54" s="480" t="str">
        <f>Data!$C$9</f>
        <v>£m 18/19</v>
      </c>
      <c r="D54" s="510">
        <f>D49*(1-D51)</f>
        <v>1.6122862790584314</v>
      </c>
      <c r="E54" s="510">
        <f t="shared" ref="E54:H54" si="20">E49*(1-E51)</f>
        <v>16.35782025783714</v>
      </c>
      <c r="F54" s="510">
        <f t="shared" si="20"/>
        <v>15.61953031537645</v>
      </c>
      <c r="G54" s="510">
        <f t="shared" si="20"/>
        <v>11.032642112194972</v>
      </c>
      <c r="H54" s="510">
        <f t="shared" si="20"/>
        <v>-32.55662129242409</v>
      </c>
      <c r="I54" s="76">
        <f>SUM(D54:INDEX(D54:H54,0,MATCH('RFPR cover'!$C$9,$D$6:$H$6,0)))</f>
        <v>17.970106536895571</v>
      </c>
      <c r="J54" s="77">
        <f>SUM(D54:H54)</f>
        <v>12.065657672042903</v>
      </c>
      <c r="K54" s="104"/>
      <c r="L54" s="104"/>
      <c r="M54" s="104"/>
      <c r="N54" s="104"/>
      <c r="O54" s="104"/>
      <c r="P54" s="104"/>
      <c r="Q54" s="104"/>
      <c r="R54" s="104"/>
      <c r="S54" s="104"/>
    </row>
    <row r="55" spans="2:19">
      <c r="K55" s="104"/>
      <c r="L55" s="104"/>
      <c r="M55" s="104"/>
      <c r="N55" s="104"/>
      <c r="O55" s="104"/>
      <c r="P55" s="104"/>
      <c r="Q55" s="104"/>
      <c r="R55" s="104"/>
      <c r="S55" s="104"/>
    </row>
    <row r="56" spans="2:19">
      <c r="B56" s="408" t="s">
        <v>474</v>
      </c>
      <c r="K56" s="104"/>
      <c r="L56" s="104"/>
      <c r="M56" s="104"/>
      <c r="N56" s="104"/>
      <c r="O56" s="104"/>
      <c r="P56" s="104"/>
      <c r="Q56" s="104"/>
      <c r="R56" s="104"/>
      <c r="S56" s="104"/>
    </row>
    <row r="57" spans="2:19">
      <c r="B57" s="414" t="s">
        <v>804</v>
      </c>
      <c r="C57" s="480" t="str">
        <f>Data!$C$9</f>
        <v>£m 18/19</v>
      </c>
      <c r="D57" s="487">
        <v>-3.2903801613437373</v>
      </c>
      <c r="E57" s="487">
        <v>-33.383306648647228</v>
      </c>
      <c r="F57" s="487">
        <v>-31.876592480360102</v>
      </c>
      <c r="G57" s="487">
        <v>-22.51559614733668</v>
      </c>
      <c r="H57" s="487">
        <v>66.442084270253247</v>
      </c>
      <c r="I57" s="15">
        <f>SUM(D57:INDEX(D57:H57,0,MATCH('RFPR cover'!$C$9,$D$6:$H$6,0)))</f>
        <v>-36.673686809990969</v>
      </c>
      <c r="J57" s="17">
        <f>SUM(D57:H57)</f>
        <v>-24.623791167434504</v>
      </c>
      <c r="K57" s="104"/>
      <c r="L57" s="104"/>
      <c r="M57" s="104"/>
      <c r="N57" s="104"/>
      <c r="O57" s="104"/>
      <c r="P57" s="104"/>
      <c r="Q57" s="104"/>
      <c r="R57" s="104"/>
      <c r="S57" s="104"/>
    </row>
    <row r="58" spans="2:19">
      <c r="B58" s="414" t="s">
        <v>805</v>
      </c>
      <c r="C58" s="480" t="str">
        <f>Data!$C$9</f>
        <v>£m 18/19</v>
      </c>
      <c r="D58" s="487">
        <v>0</v>
      </c>
      <c r="E58" s="487">
        <v>0</v>
      </c>
      <c r="F58" s="487">
        <v>0</v>
      </c>
      <c r="G58" s="487">
        <v>0</v>
      </c>
      <c r="H58" s="487">
        <v>0</v>
      </c>
      <c r="I58" s="15">
        <f>SUM(D58:INDEX(D58:H58,0,MATCH('RFPR cover'!$C$9,$D$6:$H$6,0)))</f>
        <v>0</v>
      </c>
      <c r="J58" s="17">
        <f t="shared" ref="J58:J59" si="21">SUM(D58:H58)</f>
        <v>0</v>
      </c>
      <c r="K58" s="104"/>
      <c r="L58" s="104"/>
      <c r="M58" s="104"/>
      <c r="N58" s="104"/>
      <c r="O58" s="104"/>
      <c r="P58" s="104"/>
      <c r="Q58" s="104"/>
      <c r="R58" s="104"/>
      <c r="S58" s="104"/>
    </row>
    <row r="59" spans="2:19">
      <c r="B59" s="408" t="s">
        <v>475</v>
      </c>
      <c r="C59" s="480" t="str">
        <f>Data!$C$9</f>
        <v>£m 18/19</v>
      </c>
      <c r="D59" s="510">
        <f>SUM(D57:D58)</f>
        <v>-3.2903801613437373</v>
      </c>
      <c r="E59" s="510">
        <f t="shared" ref="E59" si="22">SUM(E57:E58)</f>
        <v>-33.383306648647228</v>
      </c>
      <c r="F59" s="510">
        <f t="shared" ref="F59" si="23">SUM(F57:F58)</f>
        <v>-31.876592480360102</v>
      </c>
      <c r="G59" s="510">
        <f t="shared" ref="G59" si="24">SUM(G57:G58)</f>
        <v>-22.51559614733668</v>
      </c>
      <c r="H59" s="510">
        <f t="shared" ref="H59" si="25">SUM(H57:H58)</f>
        <v>66.442084270253247</v>
      </c>
      <c r="I59" s="15">
        <f>SUM(D59:INDEX(D59:H59,0,MATCH('RFPR cover'!$C$9,$D$6:$H$6,0)))</f>
        <v>-36.673686809990969</v>
      </c>
      <c r="J59" s="17">
        <f t="shared" si="21"/>
        <v>-24.623791167434504</v>
      </c>
      <c r="K59" s="408"/>
      <c r="L59" s="408"/>
      <c r="M59" s="408"/>
      <c r="N59" s="408"/>
      <c r="O59" s="408"/>
      <c r="P59" s="408"/>
      <c r="Q59" s="408"/>
      <c r="R59" s="104"/>
      <c r="S59" s="104"/>
    </row>
    <row r="60" spans="2:19">
      <c r="B60" s="408"/>
      <c r="C60" s="408"/>
      <c r="D60" s="408"/>
      <c r="E60" s="408"/>
      <c r="F60" s="408"/>
      <c r="G60" s="408"/>
      <c r="H60" s="408"/>
      <c r="I60" s="408"/>
      <c r="J60" s="408"/>
      <c r="K60" s="408"/>
      <c r="L60" s="408"/>
      <c r="M60" s="408"/>
      <c r="N60" s="408"/>
      <c r="O60" s="408"/>
      <c r="P60" s="408"/>
      <c r="Q60" s="408"/>
      <c r="R60" s="104"/>
      <c r="S60" s="104"/>
    </row>
    <row r="61" spans="2:19">
      <c r="B61" s="408" t="s">
        <v>476</v>
      </c>
      <c r="K61" s="408"/>
      <c r="L61" s="408"/>
      <c r="M61" s="408"/>
      <c r="N61" s="408"/>
      <c r="O61" s="408"/>
      <c r="P61" s="408"/>
      <c r="Q61" s="408"/>
      <c r="R61" s="104"/>
      <c r="S61" s="104"/>
    </row>
    <row r="62" spans="2:19">
      <c r="B62" s="414" t="s">
        <v>806</v>
      </c>
      <c r="C62" s="480" t="str">
        <f>Data!$C$9</f>
        <v>£m 18/19</v>
      </c>
      <c r="D62" s="487">
        <v>0</v>
      </c>
      <c r="E62" s="487">
        <v>0</v>
      </c>
      <c r="F62" s="487">
        <v>0</v>
      </c>
      <c r="G62" s="487">
        <v>0</v>
      </c>
      <c r="H62" s="487">
        <v>0</v>
      </c>
      <c r="I62" s="15">
        <f>SUM(D62:INDEX(D62:H62,0,MATCH('RFPR cover'!$C$9,$D$6:$H$6,0)))</f>
        <v>0</v>
      </c>
      <c r="J62" s="17">
        <f>SUM(D62:H62)</f>
        <v>0</v>
      </c>
      <c r="K62" s="408"/>
      <c r="L62" s="408"/>
      <c r="M62" s="408"/>
      <c r="N62" s="408"/>
      <c r="O62" s="408"/>
      <c r="P62" s="408"/>
      <c r="Q62" s="408"/>
      <c r="R62" s="104"/>
      <c r="S62" s="104"/>
    </row>
    <row r="63" spans="2:19">
      <c r="B63" s="414" t="s">
        <v>805</v>
      </c>
      <c r="C63" s="480" t="str">
        <f>Data!$C$9</f>
        <v>£m 18/19</v>
      </c>
      <c r="D63" s="487">
        <v>0</v>
      </c>
      <c r="E63" s="487">
        <v>0</v>
      </c>
      <c r="F63" s="487">
        <v>0</v>
      </c>
      <c r="G63" s="487">
        <v>0</v>
      </c>
      <c r="H63" s="487">
        <v>0</v>
      </c>
      <c r="I63" s="15">
        <f>SUM(D63:INDEX(D63:H63,0,MATCH('RFPR cover'!$C$9,$D$6:$H$6,0)))</f>
        <v>0</v>
      </c>
      <c r="J63" s="17">
        <f t="shared" ref="J63:J64" si="26">SUM(D63:H63)</f>
        <v>0</v>
      </c>
      <c r="K63" s="408"/>
      <c r="L63" s="408"/>
      <c r="M63" s="408"/>
      <c r="N63" s="408"/>
      <c r="O63" s="408"/>
      <c r="P63" s="408"/>
      <c r="Q63" s="408"/>
      <c r="R63" s="104"/>
      <c r="S63" s="104"/>
    </row>
    <row r="64" spans="2:19">
      <c r="B64" s="408" t="s">
        <v>475</v>
      </c>
      <c r="C64" s="480" t="str">
        <f>Data!$C$9</f>
        <v>£m 18/19</v>
      </c>
      <c r="D64" s="510">
        <f>SUM(D62:D63)</f>
        <v>0</v>
      </c>
      <c r="E64" s="510">
        <f t="shared" ref="E64:H64" si="27">SUM(E62:E63)</f>
        <v>0</v>
      </c>
      <c r="F64" s="510">
        <f t="shared" si="27"/>
        <v>0</v>
      </c>
      <c r="G64" s="510">
        <f t="shared" si="27"/>
        <v>0</v>
      </c>
      <c r="H64" s="510">
        <f t="shared" si="27"/>
        <v>0</v>
      </c>
      <c r="I64" s="15">
        <f>SUM(D64:INDEX(D64:H64,0,MATCH('RFPR cover'!$C$9,$D$6:$H$6,0)))</f>
        <v>0</v>
      </c>
      <c r="J64" s="17">
        <f t="shared" si="26"/>
        <v>0</v>
      </c>
      <c r="K64" s="408"/>
      <c r="L64" s="408"/>
      <c r="M64" s="408"/>
      <c r="N64" s="408"/>
      <c r="O64" s="408"/>
      <c r="P64" s="408"/>
      <c r="Q64" s="408"/>
      <c r="R64" s="104"/>
      <c r="S64" s="104"/>
    </row>
    <row r="65" spans="2:20">
      <c r="B65" s="408"/>
      <c r="C65" s="408"/>
      <c r="D65" s="408"/>
      <c r="E65" s="408"/>
      <c r="F65" s="408"/>
      <c r="G65" s="408"/>
      <c r="H65" s="408"/>
      <c r="I65" s="408"/>
      <c r="J65" s="408"/>
      <c r="K65" s="408"/>
      <c r="L65" s="408"/>
      <c r="M65" s="408"/>
      <c r="N65" s="408"/>
      <c r="O65" s="408"/>
      <c r="P65" s="408"/>
      <c r="Q65" s="408"/>
      <c r="R65" s="104"/>
      <c r="S65" s="104"/>
    </row>
    <row r="66" spans="2:20">
      <c r="B66" s="401" t="s">
        <v>477</v>
      </c>
      <c r="C66" s="480"/>
      <c r="D66" s="510">
        <f>D59*D51</f>
        <v>-1.678093882285306</v>
      </c>
      <c r="E66" s="510">
        <f t="shared" ref="E66:H66" si="28">E59*E51</f>
        <v>-17.025486390810087</v>
      </c>
      <c r="F66" s="510">
        <f t="shared" si="28"/>
        <v>-16.257062164983651</v>
      </c>
      <c r="G66" s="510">
        <f t="shared" si="28"/>
        <v>-11.482954035141708</v>
      </c>
      <c r="H66" s="510">
        <f t="shared" si="28"/>
        <v>33.885462977829157</v>
      </c>
      <c r="I66" s="18">
        <f>SUM(D66:INDEX(D66:H66,0,MATCH('RFPR cover'!$C$9,$D$6:$H$6,0)))</f>
        <v>-18.703580273095394</v>
      </c>
      <c r="J66" s="20">
        <f>SUM(D66:H66)</f>
        <v>-12.558133495391601</v>
      </c>
      <c r="K66" s="408"/>
      <c r="L66" s="408"/>
      <c r="M66" s="408"/>
      <c r="N66" s="408"/>
      <c r="O66" s="408"/>
      <c r="P66" s="408"/>
      <c r="Q66" s="408"/>
      <c r="R66" s="104"/>
      <c r="S66" s="104"/>
    </row>
    <row r="67" spans="2:20">
      <c r="B67" s="401" t="s">
        <v>478</v>
      </c>
      <c r="C67" s="480"/>
      <c r="D67" s="510">
        <f t="shared" ref="D67:H67" si="29">D59*(1-D51)+D64</f>
        <v>-1.6122862790584314</v>
      </c>
      <c r="E67" s="510">
        <f t="shared" si="29"/>
        <v>-16.35782025783714</v>
      </c>
      <c r="F67" s="510">
        <f t="shared" si="29"/>
        <v>-15.61953031537645</v>
      </c>
      <c r="G67" s="510">
        <f t="shared" si="29"/>
        <v>-11.032642112194972</v>
      </c>
      <c r="H67" s="510">
        <f t="shared" si="29"/>
        <v>32.55662129242409</v>
      </c>
      <c r="I67" s="18">
        <f>SUM(D67:INDEX(D67:H67,0,MATCH('RFPR cover'!$C$9,$D$6:$H$6,0)))</f>
        <v>-17.970106536895571</v>
      </c>
      <c r="J67" s="17">
        <f>SUM(D67:H67)</f>
        <v>-12.065657672042903</v>
      </c>
      <c r="K67" s="408"/>
      <c r="L67" s="408"/>
      <c r="M67" s="408"/>
      <c r="N67" s="408"/>
      <c r="O67" s="408"/>
      <c r="P67" s="408"/>
      <c r="Q67" s="408"/>
      <c r="R67" s="104"/>
      <c r="S67" s="104"/>
    </row>
    <row r="68" spans="2:20">
      <c r="B68" s="408"/>
      <c r="C68" s="408"/>
      <c r="D68" s="408"/>
      <c r="E68" s="408"/>
      <c r="F68" s="408"/>
      <c r="G68" s="408"/>
      <c r="H68" s="408"/>
      <c r="I68" s="408"/>
      <c r="J68" s="408"/>
      <c r="K68" s="408"/>
      <c r="L68" s="408"/>
      <c r="M68" s="408"/>
      <c r="N68" s="408"/>
      <c r="O68" s="408"/>
      <c r="P68" s="408"/>
      <c r="Q68" s="408"/>
      <c r="R68" s="104"/>
      <c r="S68" s="104"/>
    </row>
    <row r="69" spans="2:20">
      <c r="B69" s="408" t="s">
        <v>479</v>
      </c>
      <c r="C69" s="408"/>
      <c r="D69" s="408"/>
      <c r="E69" s="408"/>
      <c r="F69" s="408"/>
      <c r="G69" s="408"/>
      <c r="H69" s="408"/>
      <c r="I69" s="408"/>
      <c r="J69" s="408"/>
      <c r="K69" s="408"/>
      <c r="L69" s="408"/>
      <c r="M69" s="408"/>
      <c r="N69" s="408"/>
      <c r="O69" s="408"/>
      <c r="P69" s="408"/>
      <c r="Q69" s="408"/>
      <c r="R69" s="104"/>
      <c r="S69" s="104"/>
    </row>
    <row r="70" spans="2:20">
      <c r="B70" s="401" t="s">
        <v>472</v>
      </c>
      <c r="C70" s="480" t="str">
        <f>Data!$C$9</f>
        <v>£m 18/19</v>
      </c>
      <c r="D70" s="510">
        <f>D66+D53</f>
        <v>0</v>
      </c>
      <c r="E70" s="510">
        <f t="shared" ref="E70:H70" si="30">E66+E53</f>
        <v>0</v>
      </c>
      <c r="F70" s="510">
        <f t="shared" si="30"/>
        <v>0</v>
      </c>
      <c r="G70" s="510">
        <f t="shared" si="30"/>
        <v>0</v>
      </c>
      <c r="H70" s="510">
        <f t="shared" si="30"/>
        <v>0</v>
      </c>
      <c r="I70" s="15">
        <f>SUM(D70:INDEX(D70:H70,0,MATCH('RFPR cover'!$C$9,$D$6:$H$6,0)))</f>
        <v>0</v>
      </c>
      <c r="J70" s="17">
        <f>SUM(D70:H70)</f>
        <v>0</v>
      </c>
      <c r="K70" s="408"/>
      <c r="L70" s="408"/>
      <c r="M70" s="408"/>
      <c r="N70" s="408"/>
      <c r="O70" s="408"/>
      <c r="P70" s="408"/>
      <c r="Q70" s="408"/>
      <c r="R70" s="104"/>
      <c r="S70" s="104"/>
    </row>
    <row r="71" spans="2:20">
      <c r="B71" s="401" t="s">
        <v>473</v>
      </c>
      <c r="C71" s="480" t="str">
        <f>Data!$C$9</f>
        <v>£m 18/19</v>
      </c>
      <c r="D71" s="510">
        <f>D54+D67</f>
        <v>0</v>
      </c>
      <c r="E71" s="510">
        <f t="shared" ref="E71:H71" si="31">E54+E67</f>
        <v>0</v>
      </c>
      <c r="F71" s="510">
        <f t="shared" si="31"/>
        <v>0</v>
      </c>
      <c r="G71" s="510">
        <f t="shared" si="31"/>
        <v>0</v>
      </c>
      <c r="H71" s="510">
        <f t="shared" si="31"/>
        <v>0</v>
      </c>
      <c r="I71" s="15">
        <f>SUM(D71:INDEX(D71:H71,0,MATCH('RFPR cover'!$C$9,$D$6:$H$6,0)))</f>
        <v>0</v>
      </c>
      <c r="J71" s="17">
        <f t="shared" ref="J71" si="32">SUM(D71:H71)</f>
        <v>0</v>
      </c>
      <c r="K71" s="408"/>
      <c r="L71" s="408"/>
      <c r="M71" s="408"/>
      <c r="N71" s="408"/>
      <c r="O71" s="408"/>
      <c r="P71" s="408"/>
      <c r="Q71" s="408"/>
      <c r="R71" s="104"/>
      <c r="S71" s="104"/>
    </row>
    <row r="72" spans="2:20">
      <c r="B72" s="408" t="s">
        <v>480</v>
      </c>
      <c r="C72" s="488" t="str">
        <f>Data!$C$9</f>
        <v>£m 18/19</v>
      </c>
      <c r="D72" s="510">
        <f>SUM(D70:D71)</f>
        <v>0</v>
      </c>
      <c r="E72" s="510">
        <f t="shared" ref="E72:H72" si="33">SUM(E70:E71)</f>
        <v>0</v>
      </c>
      <c r="F72" s="510">
        <f t="shared" si="33"/>
        <v>0</v>
      </c>
      <c r="G72" s="510">
        <f t="shared" si="33"/>
        <v>0</v>
      </c>
      <c r="H72" s="510">
        <f t="shared" si="33"/>
        <v>0</v>
      </c>
      <c r="I72" s="15">
        <f>SUM(D72:INDEX(D72:H72,0,MATCH('RFPR cover'!$C$9,$D$6:$H$6,0)))</f>
        <v>0</v>
      </c>
      <c r="J72" s="17">
        <f t="shared" ref="J72" si="34">SUM(D72:H72)</f>
        <v>0</v>
      </c>
      <c r="K72" s="104"/>
      <c r="L72" s="104"/>
      <c r="M72" s="104"/>
      <c r="N72" s="104"/>
      <c r="O72" s="104"/>
      <c r="P72" s="104"/>
      <c r="Q72" s="104"/>
      <c r="R72" s="104"/>
      <c r="S72" s="104"/>
    </row>
    <row r="73" spans="2:20">
      <c r="C73" s="480"/>
      <c r="D73" s="480"/>
      <c r="E73" s="480"/>
      <c r="F73" s="480"/>
      <c r="G73" s="480"/>
      <c r="H73" s="480"/>
      <c r="I73" s="480"/>
      <c r="J73" s="480"/>
      <c r="K73" s="480"/>
      <c r="L73" s="480"/>
      <c r="M73" s="480"/>
      <c r="N73" s="480"/>
      <c r="O73" s="480"/>
      <c r="P73" s="480"/>
      <c r="Q73" s="480"/>
      <c r="R73" s="480"/>
      <c r="S73" s="480"/>
      <c r="T73" s="480"/>
    </row>
    <row r="74" spans="2:20">
      <c r="B74" s="489" t="s">
        <v>482</v>
      </c>
      <c r="C74" s="404"/>
      <c r="D74" s="406"/>
      <c r="E74" s="406"/>
      <c r="F74" s="406"/>
      <c r="G74" s="406"/>
      <c r="H74" s="406"/>
      <c r="I74" s="406"/>
      <c r="J74" s="406"/>
      <c r="K74" s="104"/>
      <c r="L74" s="104"/>
      <c r="M74" s="104"/>
      <c r="N74" s="104"/>
      <c r="O74" s="104"/>
      <c r="P74" s="104"/>
      <c r="Q74" s="104"/>
      <c r="R74" s="104"/>
      <c r="S74" s="104"/>
    </row>
    <row r="75" spans="2:20">
      <c r="D75" s="479"/>
      <c r="E75" s="479"/>
      <c r="F75" s="479"/>
      <c r="G75" s="479"/>
      <c r="H75" s="479"/>
      <c r="I75" s="479"/>
      <c r="J75" s="479"/>
      <c r="K75" s="104"/>
      <c r="L75" s="104"/>
      <c r="M75" s="104"/>
      <c r="N75" s="104"/>
      <c r="O75" s="104"/>
      <c r="P75" s="104"/>
      <c r="Q75" s="104"/>
      <c r="R75" s="104"/>
      <c r="S75" s="104"/>
    </row>
    <row r="76" spans="2:20">
      <c r="B76" s="80" t="s">
        <v>483</v>
      </c>
      <c r="C76" s="480" t="str">
        <f>Data!$C$9</f>
        <v>£m 18/19</v>
      </c>
      <c r="D76" s="481">
        <v>0</v>
      </c>
      <c r="E76" s="481">
        <v>0</v>
      </c>
      <c r="F76" s="481">
        <v>0</v>
      </c>
      <c r="G76" s="481">
        <v>0</v>
      </c>
      <c r="H76" s="481">
        <v>0</v>
      </c>
      <c r="I76" s="516">
        <f>SUM(D76:INDEX(D76:H76,0,MATCH('RFPR cover'!$C$9,$D$6:$H$6,0)))</f>
        <v>0</v>
      </c>
      <c r="J76" s="517">
        <f>SUM(D76:H76)</f>
        <v>0</v>
      </c>
      <c r="K76" s="104"/>
      <c r="L76" s="104"/>
      <c r="M76" s="104"/>
      <c r="N76" s="104"/>
      <c r="O76" s="104"/>
      <c r="P76" s="104"/>
      <c r="Q76" s="104"/>
      <c r="R76" s="104"/>
      <c r="S76" s="104"/>
    </row>
    <row r="77" spans="2:20" ht="16.5" customHeight="1">
      <c r="B77" s="482" t="s">
        <v>484</v>
      </c>
      <c r="C77" s="490" t="str">
        <f>Data!$C$9</f>
        <v>£m 18/19</v>
      </c>
      <c r="D77" s="481">
        <v>0</v>
      </c>
      <c r="E77" s="481">
        <v>0</v>
      </c>
      <c r="F77" s="481">
        <v>0</v>
      </c>
      <c r="G77" s="481">
        <v>0</v>
      </c>
      <c r="H77" s="481">
        <v>0</v>
      </c>
      <c r="I77" s="521">
        <f>SUM(D77:INDEX(D77:H77,0,MATCH('RFPR cover'!$C$9,$D$6:$H$6,0)))</f>
        <v>0</v>
      </c>
      <c r="J77" s="522">
        <f>SUM(D77:H77)</f>
        <v>0</v>
      </c>
      <c r="K77" s="491"/>
      <c r="L77" s="491"/>
      <c r="M77" s="491"/>
      <c r="N77" s="491"/>
      <c r="O77" s="491"/>
      <c r="P77" s="491"/>
      <c r="Q77" s="491"/>
      <c r="R77" s="491"/>
      <c r="S77" s="491"/>
    </row>
    <row r="78" spans="2:20">
      <c r="B78" s="79" t="s">
        <v>470</v>
      </c>
      <c r="C78" s="480" t="str">
        <f>Data!$C$9</f>
        <v>£m 18/19</v>
      </c>
      <c r="D78" s="510">
        <f>D77-D76</f>
        <v>0</v>
      </c>
      <c r="E78" s="510">
        <f t="shared" ref="E78:J78" si="35">E77-E76</f>
        <v>0</v>
      </c>
      <c r="F78" s="510">
        <f t="shared" si="35"/>
        <v>0</v>
      </c>
      <c r="G78" s="510">
        <f t="shared" si="35"/>
        <v>0</v>
      </c>
      <c r="H78" s="510">
        <f t="shared" si="35"/>
        <v>0</v>
      </c>
      <c r="I78" s="152">
        <f t="shared" si="35"/>
        <v>0</v>
      </c>
      <c r="J78" s="259">
        <f t="shared" si="35"/>
        <v>0</v>
      </c>
      <c r="K78" s="104"/>
      <c r="L78" s="104"/>
      <c r="M78" s="104"/>
      <c r="N78" s="104"/>
      <c r="O78" s="104"/>
      <c r="P78" s="104"/>
      <c r="Q78" s="104"/>
      <c r="R78" s="104"/>
      <c r="S78" s="104"/>
    </row>
    <row r="79" spans="2:20">
      <c r="B79" s="79"/>
      <c r="C79" s="480"/>
      <c r="D79" s="484"/>
      <c r="E79" s="484"/>
      <c r="F79" s="484"/>
      <c r="G79" s="484"/>
      <c r="H79" s="484"/>
      <c r="I79" s="484"/>
      <c r="J79" s="484"/>
      <c r="K79" s="104"/>
      <c r="L79" s="104"/>
      <c r="M79" s="104"/>
      <c r="N79" s="104"/>
      <c r="O79" s="104"/>
      <c r="P79" s="104"/>
      <c r="Q79" s="104"/>
      <c r="R79" s="104"/>
      <c r="S79" s="104"/>
    </row>
    <row r="80" spans="2:20">
      <c r="B80" s="401" t="s">
        <v>471</v>
      </c>
      <c r="C80" s="29" t="s">
        <v>383</v>
      </c>
      <c r="D80" s="520">
        <f>INDEX(Data!$C$56:$C$84,MATCH('RFPR cover'!$C$7,Data!$B$56:$B$84,0),0)</f>
        <v>0.51</v>
      </c>
      <c r="E80" s="520">
        <f>INDEX(Data!$C$56:$C$84,MATCH('RFPR cover'!$C$7,Data!$B$56:$B$84,0),0)</f>
        <v>0.51</v>
      </c>
      <c r="F80" s="520">
        <f>INDEX(Data!$C$56:$C$84,MATCH('RFPR cover'!$C$7,Data!$B$56:$B$84,0),0)</f>
        <v>0.51</v>
      </c>
      <c r="G80" s="520">
        <f>INDEX(Data!$C$56:$C$84,MATCH('RFPR cover'!$C$7,Data!$B$56:$B$84,0),0)</f>
        <v>0.51</v>
      </c>
      <c r="H80" s="520">
        <f>INDEX(Data!$C$56:$C$84,MATCH('RFPR cover'!$C$7,Data!$B$56:$B$84,0),0)</f>
        <v>0.51</v>
      </c>
      <c r="I80" s="486"/>
      <c r="J80" s="486"/>
      <c r="K80" s="104"/>
      <c r="L80" s="104"/>
      <c r="M80" s="104"/>
      <c r="N80" s="104"/>
      <c r="O80" s="104"/>
      <c r="P80" s="104"/>
      <c r="Q80" s="104"/>
      <c r="R80" s="104"/>
      <c r="S80" s="104"/>
    </row>
    <row r="81" spans="2:19">
      <c r="K81" s="104"/>
      <c r="L81" s="104"/>
      <c r="M81" s="104"/>
      <c r="N81" s="104"/>
      <c r="O81" s="104"/>
      <c r="P81" s="104"/>
      <c r="Q81" s="104"/>
      <c r="R81" s="104"/>
      <c r="S81" s="104"/>
    </row>
    <row r="82" spans="2:19">
      <c r="B82" s="401" t="s">
        <v>472</v>
      </c>
      <c r="C82" s="480" t="str">
        <f>Data!$C$9</f>
        <v>£m 18/19</v>
      </c>
      <c r="D82" s="510">
        <f>D78*D80</f>
        <v>0</v>
      </c>
      <c r="E82" s="510">
        <f t="shared" ref="E82:H82" si="36">E78*E80</f>
        <v>0</v>
      </c>
      <c r="F82" s="510">
        <f t="shared" si="36"/>
        <v>0</v>
      </c>
      <c r="G82" s="510">
        <f t="shared" si="36"/>
        <v>0</v>
      </c>
      <c r="H82" s="510">
        <f t="shared" si="36"/>
        <v>0</v>
      </c>
      <c r="I82" s="51">
        <f>SUM(D82:INDEX(D82:H82,0,MATCH('RFPR cover'!$C$9,$D$6:$H$6,0)))</f>
        <v>0</v>
      </c>
      <c r="J82" s="75">
        <f>SUM(D82:H82)</f>
        <v>0</v>
      </c>
      <c r="K82" s="104"/>
      <c r="L82" s="104"/>
      <c r="M82" s="104"/>
      <c r="N82" s="104"/>
      <c r="O82" s="104"/>
      <c r="P82" s="104"/>
      <c r="Q82" s="104"/>
      <c r="R82" s="104"/>
      <c r="S82" s="104"/>
    </row>
    <row r="83" spans="2:19">
      <c r="B83" s="401" t="s">
        <v>473</v>
      </c>
      <c r="C83" s="480" t="str">
        <f>Data!$C$9</f>
        <v>£m 18/19</v>
      </c>
      <c r="D83" s="510">
        <f>D78*(1-D80)</f>
        <v>0</v>
      </c>
      <c r="E83" s="510">
        <f t="shared" ref="E83:H83" si="37">E78*(1-E80)</f>
        <v>0</v>
      </c>
      <c r="F83" s="510">
        <f t="shared" si="37"/>
        <v>0</v>
      </c>
      <c r="G83" s="510">
        <f t="shared" si="37"/>
        <v>0</v>
      </c>
      <c r="H83" s="510">
        <f t="shared" si="37"/>
        <v>0</v>
      </c>
      <c r="I83" s="76">
        <f>SUM(D83:INDEX(D83:H83,0,MATCH('RFPR cover'!$C$9,$D$6:$H$6,0)))</f>
        <v>0</v>
      </c>
      <c r="J83" s="77">
        <f>SUM(D83:H83)</f>
        <v>0</v>
      </c>
      <c r="K83" s="104"/>
      <c r="L83" s="104"/>
      <c r="M83" s="104"/>
      <c r="N83" s="104"/>
      <c r="O83" s="104"/>
      <c r="P83" s="104"/>
      <c r="Q83" s="104"/>
      <c r="R83" s="104"/>
      <c r="S83" s="104"/>
    </row>
    <row r="84" spans="2:19">
      <c r="C84" s="401"/>
      <c r="D84" s="401"/>
      <c r="E84" s="401"/>
      <c r="F84" s="401"/>
      <c r="G84" s="401"/>
      <c r="H84" s="401"/>
      <c r="I84" s="401"/>
      <c r="J84" s="401"/>
      <c r="K84" s="401"/>
      <c r="L84" s="401"/>
      <c r="M84" s="104"/>
      <c r="N84" s="104"/>
      <c r="O84" s="104"/>
      <c r="P84" s="104"/>
      <c r="Q84" s="104"/>
      <c r="R84" s="104"/>
      <c r="S84" s="104"/>
    </row>
    <row r="85" spans="2:19">
      <c r="B85" s="408" t="s">
        <v>474</v>
      </c>
      <c r="K85" s="401"/>
      <c r="L85" s="401"/>
      <c r="M85" s="104"/>
      <c r="N85" s="104"/>
      <c r="O85" s="104"/>
      <c r="P85" s="104"/>
      <c r="Q85" s="104"/>
      <c r="R85" s="104"/>
      <c r="S85" s="104"/>
    </row>
    <row r="86" spans="2:19">
      <c r="B86" s="414" t="s">
        <v>806</v>
      </c>
      <c r="C86" s="480" t="str">
        <f>Data!$C$9</f>
        <v>£m 18/19</v>
      </c>
      <c r="D86" s="487">
        <v>0</v>
      </c>
      <c r="E86" s="487">
        <v>0</v>
      </c>
      <c r="F86" s="487">
        <v>0</v>
      </c>
      <c r="G86" s="487">
        <v>0</v>
      </c>
      <c r="H86" s="487">
        <v>0</v>
      </c>
      <c r="I86" s="15">
        <f>SUM(D86:INDEX(D86:H86,0,MATCH('RFPR cover'!$C$9,$D$6:$H$6,0)))</f>
        <v>0</v>
      </c>
      <c r="J86" s="17">
        <f>SUM(D86:H86)</f>
        <v>0</v>
      </c>
      <c r="K86" s="401"/>
      <c r="L86" s="401"/>
      <c r="M86" s="104"/>
      <c r="N86" s="104"/>
      <c r="O86" s="104"/>
      <c r="P86" s="104"/>
      <c r="Q86" s="104"/>
      <c r="R86" s="104"/>
      <c r="S86" s="104"/>
    </row>
    <row r="87" spans="2:19">
      <c r="B87" s="414" t="s">
        <v>805</v>
      </c>
      <c r="C87" s="480" t="str">
        <f>Data!$C$9</f>
        <v>£m 18/19</v>
      </c>
      <c r="D87" s="487">
        <v>0</v>
      </c>
      <c r="E87" s="487">
        <v>0</v>
      </c>
      <c r="F87" s="487">
        <v>0</v>
      </c>
      <c r="G87" s="487">
        <v>0</v>
      </c>
      <c r="H87" s="487">
        <v>0</v>
      </c>
      <c r="I87" s="15">
        <f>SUM(D87:INDEX(D87:H87,0,MATCH('RFPR cover'!$C$9,$D$6:$H$6,0)))</f>
        <v>0</v>
      </c>
      <c r="J87" s="17">
        <f t="shared" ref="J87:J88" si="38">SUM(D87:H87)</f>
        <v>0</v>
      </c>
      <c r="K87" s="401"/>
      <c r="L87" s="401"/>
      <c r="M87" s="104"/>
      <c r="N87" s="104"/>
      <c r="O87" s="104"/>
      <c r="P87" s="104"/>
      <c r="Q87" s="104"/>
      <c r="R87" s="104"/>
      <c r="S87" s="104"/>
    </row>
    <row r="88" spans="2:19">
      <c r="B88" s="408" t="s">
        <v>475</v>
      </c>
      <c r="C88" s="480" t="str">
        <f>Data!$C$9</f>
        <v>£m 18/19</v>
      </c>
      <c r="D88" s="510">
        <f>SUM(D86:D87)</f>
        <v>0</v>
      </c>
      <c r="E88" s="510">
        <f t="shared" ref="E88" si="39">SUM(E86:E87)</f>
        <v>0</v>
      </c>
      <c r="F88" s="510">
        <f t="shared" ref="F88" si="40">SUM(F86:F87)</f>
        <v>0</v>
      </c>
      <c r="G88" s="510">
        <f t="shared" ref="G88" si="41">SUM(G86:G87)</f>
        <v>0</v>
      </c>
      <c r="H88" s="510">
        <f t="shared" ref="H88" si="42">SUM(H86:H87)</f>
        <v>0</v>
      </c>
      <c r="I88" s="15">
        <f>SUM(D88:INDEX(D88:H88,0,MATCH('RFPR cover'!$C$9,$D$6:$H$6,0)))</f>
        <v>0</v>
      </c>
      <c r="J88" s="17">
        <f t="shared" si="38"/>
        <v>0</v>
      </c>
      <c r="K88" s="401"/>
      <c r="L88" s="401"/>
      <c r="M88" s="104"/>
      <c r="N88" s="104"/>
      <c r="O88" s="104"/>
      <c r="P88" s="104"/>
      <c r="Q88" s="104"/>
      <c r="R88" s="104"/>
      <c r="S88" s="104"/>
    </row>
    <row r="89" spans="2:19">
      <c r="B89" s="408"/>
      <c r="C89" s="408"/>
      <c r="D89" s="408"/>
      <c r="E89" s="408"/>
      <c r="F89" s="408"/>
      <c r="G89" s="408"/>
      <c r="H89" s="408"/>
      <c r="I89" s="408"/>
      <c r="J89" s="408"/>
      <c r="K89" s="401"/>
      <c r="L89" s="401"/>
      <c r="M89" s="104"/>
      <c r="N89" s="104"/>
      <c r="O89" s="104"/>
      <c r="P89" s="104"/>
      <c r="Q89" s="104"/>
      <c r="R89" s="104"/>
      <c r="S89" s="104"/>
    </row>
    <row r="90" spans="2:19">
      <c r="B90" s="401" t="s">
        <v>477</v>
      </c>
      <c r="C90" s="480"/>
      <c r="D90" s="510">
        <f>D88*D80</f>
        <v>0</v>
      </c>
      <c r="E90" s="510">
        <f t="shared" ref="E90:H90" si="43">E88*E80</f>
        <v>0</v>
      </c>
      <c r="F90" s="510">
        <f t="shared" si="43"/>
        <v>0</v>
      </c>
      <c r="G90" s="510">
        <f t="shared" si="43"/>
        <v>0</v>
      </c>
      <c r="H90" s="510">
        <f t="shared" si="43"/>
        <v>0</v>
      </c>
      <c r="I90" s="18">
        <f>SUM(D90:INDEX(D90:H90,0,MATCH('RFPR cover'!$C$9,$D$6:$H$6,0)))</f>
        <v>0</v>
      </c>
      <c r="J90" s="20">
        <f>SUM(D90:H90)</f>
        <v>0</v>
      </c>
      <c r="K90" s="401"/>
      <c r="L90" s="401"/>
      <c r="M90" s="104"/>
      <c r="N90" s="104"/>
      <c r="O90" s="104"/>
      <c r="P90" s="104"/>
      <c r="Q90" s="104"/>
      <c r="R90" s="104"/>
      <c r="S90" s="104"/>
    </row>
    <row r="91" spans="2:19">
      <c r="B91" s="401" t="s">
        <v>478</v>
      </c>
      <c r="C91" s="480"/>
      <c r="D91" s="510">
        <f>D88*(1-D80)</f>
        <v>0</v>
      </c>
      <c r="E91" s="510">
        <f t="shared" ref="E91:H91" si="44">E88*(1-E80)</f>
        <v>0</v>
      </c>
      <c r="F91" s="510">
        <f t="shared" si="44"/>
        <v>0</v>
      </c>
      <c r="G91" s="510">
        <f t="shared" si="44"/>
        <v>0</v>
      </c>
      <c r="H91" s="510">
        <f t="shared" si="44"/>
        <v>0</v>
      </c>
      <c r="I91" s="15">
        <v>0</v>
      </c>
      <c r="J91" s="17">
        <f>SUM(D91:H91)</f>
        <v>0</v>
      </c>
      <c r="K91" s="401"/>
      <c r="L91" s="401"/>
      <c r="M91" s="104"/>
      <c r="N91" s="104"/>
      <c r="O91" s="104"/>
      <c r="P91" s="104"/>
      <c r="Q91" s="104"/>
      <c r="R91" s="104"/>
      <c r="S91" s="104"/>
    </row>
    <row r="92" spans="2:19">
      <c r="B92" s="408"/>
      <c r="C92" s="408"/>
      <c r="D92" s="408"/>
      <c r="E92" s="408"/>
      <c r="F92" s="408"/>
      <c r="G92" s="408"/>
      <c r="H92" s="408"/>
      <c r="I92" s="408"/>
      <c r="J92" s="408"/>
      <c r="K92" s="401"/>
      <c r="L92" s="401"/>
      <c r="M92" s="104"/>
      <c r="N92" s="104"/>
      <c r="O92" s="104"/>
      <c r="P92" s="104"/>
      <c r="Q92" s="104"/>
      <c r="R92" s="104"/>
      <c r="S92" s="104"/>
    </row>
    <row r="93" spans="2:19">
      <c r="B93" s="408" t="s">
        <v>479</v>
      </c>
      <c r="C93" s="408"/>
      <c r="D93" s="408"/>
      <c r="E93" s="408"/>
      <c r="F93" s="408"/>
      <c r="G93" s="408"/>
      <c r="H93" s="408"/>
      <c r="I93" s="408"/>
      <c r="J93" s="408"/>
      <c r="K93" s="401"/>
      <c r="L93" s="401"/>
      <c r="M93" s="104"/>
      <c r="N93" s="104"/>
      <c r="O93" s="104"/>
      <c r="P93" s="104"/>
      <c r="Q93" s="104"/>
      <c r="R93" s="104"/>
      <c r="S93" s="104"/>
    </row>
    <row r="94" spans="2:19">
      <c r="B94" s="401" t="s">
        <v>472</v>
      </c>
      <c r="C94" s="480" t="str">
        <f>Data!$C$9</f>
        <v>£m 18/19</v>
      </c>
      <c r="D94" s="510">
        <f>D90+D82</f>
        <v>0</v>
      </c>
      <c r="E94" s="510">
        <f t="shared" ref="E94:H94" si="45">E90+E82</f>
        <v>0</v>
      </c>
      <c r="F94" s="510">
        <f t="shared" si="45"/>
        <v>0</v>
      </c>
      <c r="G94" s="510">
        <f t="shared" si="45"/>
        <v>0</v>
      </c>
      <c r="H94" s="510">
        <f t="shared" si="45"/>
        <v>0</v>
      </c>
      <c r="I94" s="15">
        <f>SUM(D94:INDEX(D94:H94,0,MATCH('RFPR cover'!$C$9,$D$6:$H$6,0)))</f>
        <v>0</v>
      </c>
      <c r="J94" s="17">
        <f>SUM(D94:H94)</f>
        <v>0</v>
      </c>
      <c r="K94" s="401"/>
      <c r="L94" s="401"/>
      <c r="M94" s="104"/>
      <c r="N94" s="104"/>
      <c r="O94" s="104"/>
      <c r="P94" s="104"/>
      <c r="Q94" s="104"/>
      <c r="R94" s="104"/>
      <c r="S94" s="104"/>
    </row>
    <row r="95" spans="2:19">
      <c r="B95" s="401" t="s">
        <v>473</v>
      </c>
      <c r="C95" s="480" t="str">
        <f>Data!$C$9</f>
        <v>£m 18/19</v>
      </c>
      <c r="D95" s="510">
        <f>D83+D91</f>
        <v>0</v>
      </c>
      <c r="E95" s="510">
        <f t="shared" ref="E95:H95" si="46">E83+E91</f>
        <v>0</v>
      </c>
      <c r="F95" s="510">
        <f t="shared" si="46"/>
        <v>0</v>
      </c>
      <c r="G95" s="510">
        <f t="shared" si="46"/>
        <v>0</v>
      </c>
      <c r="H95" s="510">
        <f t="shared" si="46"/>
        <v>0</v>
      </c>
      <c r="I95" s="15">
        <f>SUM(D95:INDEX(D95:H95,0,MATCH('RFPR cover'!$C$9,$D$6:$H$6,0)))</f>
        <v>0</v>
      </c>
      <c r="J95" s="17">
        <f t="shared" ref="J95:J96" si="47">SUM(D95:H95)</f>
        <v>0</v>
      </c>
      <c r="K95" s="401"/>
      <c r="L95" s="401"/>
      <c r="M95" s="104"/>
      <c r="N95" s="104"/>
      <c r="O95" s="104"/>
      <c r="P95" s="104"/>
      <c r="Q95" s="104"/>
      <c r="R95" s="104"/>
      <c r="S95" s="104"/>
    </row>
    <row r="96" spans="2:19">
      <c r="B96" s="408" t="s">
        <v>480</v>
      </c>
      <c r="C96" s="488" t="str">
        <f>Data!$C$9</f>
        <v>£m 18/19</v>
      </c>
      <c r="D96" s="510">
        <f>SUM(D94:D95)</f>
        <v>0</v>
      </c>
      <c r="E96" s="510">
        <f t="shared" ref="E96:H96" si="48">SUM(E94:E95)</f>
        <v>0</v>
      </c>
      <c r="F96" s="510">
        <f t="shared" si="48"/>
        <v>0</v>
      </c>
      <c r="G96" s="510">
        <f t="shared" si="48"/>
        <v>0</v>
      </c>
      <c r="H96" s="510">
        <f t="shared" si="48"/>
        <v>0</v>
      </c>
      <c r="I96" s="15">
        <f>SUM(D96:INDEX(D96:H96,0,MATCH('RFPR cover'!$C$9,$D$6:$H$6,0)))</f>
        <v>0</v>
      </c>
      <c r="J96" s="17">
        <f t="shared" si="47"/>
        <v>0</v>
      </c>
      <c r="K96" s="104"/>
      <c r="L96" s="104"/>
      <c r="M96" s="104"/>
      <c r="N96" s="104"/>
      <c r="O96" s="104"/>
      <c r="P96" s="104"/>
      <c r="Q96" s="104"/>
      <c r="R96" s="104"/>
      <c r="S96" s="104"/>
    </row>
    <row r="97" spans="2:19">
      <c r="K97" s="104"/>
      <c r="L97" s="104"/>
      <c r="M97" s="104"/>
      <c r="N97" s="104"/>
      <c r="O97" s="104"/>
      <c r="P97" s="104"/>
      <c r="Q97" s="104"/>
      <c r="R97" s="104"/>
      <c r="S97" s="104"/>
    </row>
    <row r="98" spans="2:19">
      <c r="B98" s="403" t="s">
        <v>485</v>
      </c>
      <c r="C98" s="404"/>
      <c r="D98" s="406"/>
      <c r="E98" s="406"/>
      <c r="F98" s="406"/>
      <c r="G98" s="406"/>
      <c r="H98" s="406"/>
      <c r="I98" s="406"/>
      <c r="J98" s="406"/>
      <c r="Q98" s="104"/>
      <c r="R98" s="104"/>
      <c r="S98" s="104"/>
    </row>
    <row r="99" spans="2:19">
      <c r="K99" s="104"/>
      <c r="L99" s="104"/>
      <c r="M99" s="104"/>
      <c r="N99" s="104"/>
      <c r="O99" s="104"/>
      <c r="P99" s="104"/>
      <c r="Q99" s="104"/>
      <c r="R99" s="104"/>
      <c r="S99" s="104"/>
    </row>
    <row r="100" spans="2:19">
      <c r="B100" s="408" t="s">
        <v>486</v>
      </c>
      <c r="Q100" s="104"/>
      <c r="R100" s="104"/>
      <c r="S100" s="104"/>
    </row>
    <row r="101" spans="2:19">
      <c r="B101" s="401" t="s">
        <v>487</v>
      </c>
      <c r="C101" s="480" t="str">
        <f>Data!$C$9</f>
        <v>£m 18/19</v>
      </c>
      <c r="D101" s="510">
        <f t="shared" ref="D101:H102" si="49">D41+D70+D94</f>
        <v>0</v>
      </c>
      <c r="E101" s="510">
        <f t="shared" si="49"/>
        <v>0</v>
      </c>
      <c r="F101" s="510">
        <f t="shared" si="49"/>
        <v>0</v>
      </c>
      <c r="G101" s="510">
        <f t="shared" si="49"/>
        <v>0</v>
      </c>
      <c r="H101" s="510">
        <f t="shared" si="49"/>
        <v>0</v>
      </c>
      <c r="I101" s="15">
        <f>SUM(D101:INDEX(D101:H101,0,MATCH('RFPR cover'!$C$9,$D$6:$H$6,0)))</f>
        <v>0</v>
      </c>
      <c r="J101" s="17">
        <f>SUM(D101:H101)</f>
        <v>0</v>
      </c>
      <c r="Q101" s="104"/>
      <c r="R101" s="440"/>
      <c r="S101" s="104"/>
    </row>
    <row r="102" spans="2:19">
      <c r="B102" s="401" t="s">
        <v>473</v>
      </c>
      <c r="C102" s="480" t="str">
        <f>Data!$C$9</f>
        <v>£m 18/19</v>
      </c>
      <c r="D102" s="510">
        <f t="shared" si="49"/>
        <v>0</v>
      </c>
      <c r="E102" s="510">
        <f t="shared" si="49"/>
        <v>0</v>
      </c>
      <c r="F102" s="510">
        <f t="shared" si="49"/>
        <v>0</v>
      </c>
      <c r="G102" s="510">
        <f t="shared" si="49"/>
        <v>0</v>
      </c>
      <c r="H102" s="510">
        <f t="shared" si="49"/>
        <v>0</v>
      </c>
      <c r="I102" s="15">
        <f>SUM(D102:INDEX(D102:H102,0,MATCH('RFPR cover'!$C$9,$D$6:$H$6,0)))</f>
        <v>0</v>
      </c>
      <c r="J102" s="17">
        <f t="shared" ref="J102:J103" si="50">SUM(D102:H102)</f>
        <v>0</v>
      </c>
      <c r="Q102" s="104"/>
      <c r="R102" s="104"/>
      <c r="S102" s="104"/>
    </row>
    <row r="103" spans="2:19">
      <c r="B103" s="408" t="s">
        <v>488</v>
      </c>
      <c r="C103" s="488" t="str">
        <f>Data!$C$9</f>
        <v>£m 18/19</v>
      </c>
      <c r="D103" s="510">
        <f>SUM(D101:D102)</f>
        <v>0</v>
      </c>
      <c r="E103" s="510">
        <f t="shared" ref="E103:H103" si="51">SUM(E101:E102)</f>
        <v>0</v>
      </c>
      <c r="F103" s="510">
        <f t="shared" si="51"/>
        <v>0</v>
      </c>
      <c r="G103" s="510">
        <f t="shared" si="51"/>
        <v>0</v>
      </c>
      <c r="H103" s="510">
        <f t="shared" si="51"/>
        <v>0</v>
      </c>
      <c r="I103" s="15">
        <f>SUM(D103:INDEX(D103:H103,0,MATCH('RFPR cover'!$C$9,$D$6:$H$6,0)))</f>
        <v>0</v>
      </c>
      <c r="J103" s="17">
        <f t="shared" si="50"/>
        <v>0</v>
      </c>
      <c r="Q103" s="104"/>
      <c r="R103" s="104"/>
      <c r="S103" s="104"/>
    </row>
    <row r="104" spans="2:19">
      <c r="B104" s="408"/>
      <c r="C104" s="488"/>
      <c r="D104" s="488"/>
      <c r="E104" s="488"/>
      <c r="F104" s="488"/>
      <c r="G104" s="488"/>
      <c r="H104" s="488"/>
      <c r="I104" s="488"/>
      <c r="J104" s="488"/>
      <c r="Q104" s="104"/>
      <c r="R104" s="104"/>
      <c r="S104" s="104"/>
    </row>
    <row r="105" spans="2:19">
      <c r="B105" s="472" t="s">
        <v>489</v>
      </c>
      <c r="C105" s="473"/>
      <c r="D105" s="473"/>
      <c r="E105" s="473"/>
      <c r="F105" s="473"/>
      <c r="G105" s="473"/>
      <c r="H105" s="474"/>
      <c r="I105" s="474"/>
      <c r="J105" s="474"/>
    </row>
    <row r="107" spans="2:19">
      <c r="B107" s="341"/>
    </row>
    <row r="108" spans="2:19">
      <c r="B108" s="492"/>
      <c r="D108" s="340" t="str">
        <f t="shared" ref="D108:H108" si="52">IF(D109&lt;=Reporting_Year,"Actuals","N/A")</f>
        <v>Actuals</v>
      </c>
      <c r="E108" s="493" t="str">
        <f t="shared" si="52"/>
        <v>Actuals</v>
      </c>
      <c r="F108" s="493" t="str">
        <f t="shared" si="52"/>
        <v>N/A</v>
      </c>
      <c r="G108" s="493" t="str">
        <f t="shared" si="52"/>
        <v>N/A</v>
      </c>
      <c r="H108" s="493" t="str">
        <f t="shared" si="52"/>
        <v>N/A</v>
      </c>
    </row>
    <row r="109" spans="2:19">
      <c r="B109" s="341"/>
      <c r="D109" s="469">
        <f>'RFPR cover'!$C$6</f>
        <v>2022</v>
      </c>
      <c r="E109" s="470">
        <f t="shared" ref="E109:H109" si="53">D109+1</f>
        <v>2023</v>
      </c>
      <c r="F109" s="470">
        <f t="shared" si="53"/>
        <v>2024</v>
      </c>
      <c r="G109" s="470">
        <f t="shared" si="53"/>
        <v>2025</v>
      </c>
      <c r="H109" s="470">
        <f t="shared" si="53"/>
        <v>2026</v>
      </c>
    </row>
    <row r="110" spans="2:19">
      <c r="B110" s="341"/>
      <c r="D110" s="345" t="str">
        <f>RIIO_2_start_date-1&amp;"/"&amp;RIGHT(RIIO_2_start_date,2)</f>
        <v>2021/22</v>
      </c>
      <c r="E110" s="345" t="str">
        <f>RIIO_2_start_date&amp;"/"&amp;RIGHT(RIIO_2_start_date+1,2)</f>
        <v>2022/23</v>
      </c>
      <c r="F110" s="345" t="str">
        <f>RIIO_2_start_date+1&amp;"/"&amp;RIGHT(RIIO_2_start_date+2,2)</f>
        <v>2023/24</v>
      </c>
      <c r="G110" s="345" t="str">
        <f>RIIO_2_start_date+2&amp;"/"&amp;RIGHT(RIIO_2_start_date+3,2)</f>
        <v>2024/25</v>
      </c>
      <c r="H110" s="345" t="str">
        <f>RIIO_2_start_date+3&amp;"/"&amp;RIGHT(RIIO_2_start_date+4,2)</f>
        <v>2025/26</v>
      </c>
    </row>
    <row r="111" spans="2:19">
      <c r="B111" s="341"/>
      <c r="D111" s="29"/>
      <c r="E111" s="29"/>
      <c r="F111" s="29"/>
      <c r="G111" s="29"/>
      <c r="H111" s="29"/>
      <c r="I111" s="29"/>
    </row>
    <row r="112" spans="2:19">
      <c r="B112" s="494" t="s">
        <v>490</v>
      </c>
      <c r="C112" s="40"/>
      <c r="D112" s="494"/>
      <c r="E112" s="494"/>
      <c r="F112" s="494"/>
      <c r="G112" s="494"/>
      <c r="H112" s="494"/>
      <c r="Q112" s="104"/>
    </row>
    <row r="113" spans="1:19">
      <c r="B113" s="414" t="s">
        <v>491</v>
      </c>
      <c r="C113" s="29" t="s">
        <v>419</v>
      </c>
      <c r="D113" s="413">
        <v>207.20000000000019</v>
      </c>
      <c r="E113" s="413">
        <v>228.19999999999962</v>
      </c>
      <c r="F113" s="413"/>
      <c r="G113" s="413"/>
      <c r="H113" s="413"/>
    </row>
    <row r="114" spans="1:19">
      <c r="B114" s="414" t="s">
        <v>492</v>
      </c>
      <c r="C114" s="29" t="s">
        <v>419</v>
      </c>
      <c r="D114" s="495">
        <v>0</v>
      </c>
      <c r="E114" s="487">
        <v>0</v>
      </c>
      <c r="F114" s="487"/>
      <c r="G114" s="413"/>
      <c r="H114" s="413"/>
    </row>
    <row r="115" spans="1:19">
      <c r="B115" s="414" t="s">
        <v>493</v>
      </c>
      <c r="C115" s="29" t="s">
        <v>419</v>
      </c>
      <c r="D115" s="495">
        <v>0</v>
      </c>
      <c r="E115" s="487">
        <v>0</v>
      </c>
      <c r="F115" s="487"/>
      <c r="G115" s="487"/>
      <c r="H115" s="487"/>
    </row>
    <row r="116" spans="1:19">
      <c r="B116" s="414" t="s">
        <v>494</v>
      </c>
      <c r="C116" s="29" t="s">
        <v>419</v>
      </c>
      <c r="D116" s="413">
        <v>-18.899999999999999</v>
      </c>
      <c r="E116" s="413">
        <v>-20.100000000000001</v>
      </c>
      <c r="F116" s="413"/>
      <c r="G116" s="413"/>
      <c r="H116" s="413"/>
    </row>
    <row r="117" spans="1:19">
      <c r="B117" s="414" t="s">
        <v>495</v>
      </c>
      <c r="C117" s="29" t="s">
        <v>419</v>
      </c>
      <c r="D117" s="495">
        <v>-3.8294769999999999E-2</v>
      </c>
      <c r="E117" s="487">
        <v>-3.7713790000000004E-2</v>
      </c>
      <c r="F117" s="487"/>
      <c r="G117" s="487"/>
      <c r="H117" s="487"/>
      <c r="R117" s="104"/>
      <c r="S117" s="104"/>
    </row>
    <row r="118" spans="1:19">
      <c r="B118" s="414" t="s">
        <v>496</v>
      </c>
      <c r="C118" s="29" t="s">
        <v>419</v>
      </c>
      <c r="D118" s="496">
        <v>0</v>
      </c>
      <c r="E118" s="497">
        <v>0</v>
      </c>
      <c r="F118" s="497"/>
      <c r="G118" s="497"/>
      <c r="H118" s="497"/>
    </row>
    <row r="119" spans="1:19">
      <c r="A119" s="492">
        <v>1</v>
      </c>
      <c r="B119" s="414" t="s">
        <v>808</v>
      </c>
      <c r="C119" s="29" t="s">
        <v>419</v>
      </c>
      <c r="D119" s="413">
        <v>-0.2</v>
      </c>
      <c r="E119" s="498">
        <v>17.399999999999999</v>
      </c>
      <c r="F119" s="498"/>
      <c r="G119" s="498"/>
      <c r="H119" s="498"/>
    </row>
    <row r="120" spans="1:19">
      <c r="A120" s="492">
        <v>2</v>
      </c>
      <c r="B120" s="414" t="s">
        <v>793</v>
      </c>
      <c r="C120" s="29" t="s">
        <v>419</v>
      </c>
      <c r="D120" s="495">
        <v>0</v>
      </c>
      <c r="E120" s="487">
        <v>0</v>
      </c>
      <c r="F120" s="487"/>
      <c r="G120" s="487"/>
      <c r="H120" s="487"/>
    </row>
    <row r="121" spans="1:19">
      <c r="A121" s="492">
        <v>3</v>
      </c>
      <c r="B121" s="414" t="s">
        <v>807</v>
      </c>
      <c r="C121" s="29" t="s">
        <v>419</v>
      </c>
      <c r="D121" s="499">
        <v>0</v>
      </c>
      <c r="E121" s="500">
        <v>0</v>
      </c>
      <c r="F121" s="500"/>
      <c r="G121" s="500"/>
      <c r="H121" s="500"/>
    </row>
    <row r="122" spans="1:19">
      <c r="B122" s="494" t="s">
        <v>497</v>
      </c>
      <c r="C122" s="29" t="s">
        <v>419</v>
      </c>
      <c r="D122" s="523">
        <f t="shared" ref="D122:H122" si="54">SUM(D113:D121)</f>
        <v>188.0617052300002</v>
      </c>
      <c r="E122" s="524">
        <f t="shared" si="54"/>
        <v>225.46228620999963</v>
      </c>
      <c r="F122" s="524">
        <f t="shared" si="54"/>
        <v>0</v>
      </c>
      <c r="G122" s="524">
        <f t="shared" si="54"/>
        <v>0</v>
      </c>
      <c r="H122" s="525">
        <f t="shared" si="54"/>
        <v>0</v>
      </c>
    </row>
    <row r="123" spans="1:19">
      <c r="B123" s="494"/>
      <c r="C123" s="494"/>
      <c r="D123" s="494"/>
      <c r="E123" s="494"/>
      <c r="F123" s="494"/>
      <c r="G123" s="494"/>
      <c r="H123" s="494"/>
      <c r="I123" s="494"/>
      <c r="J123" s="494"/>
      <c r="K123" s="494"/>
      <c r="L123" s="494"/>
      <c r="M123" s="494"/>
    </row>
    <row r="124" spans="1:19">
      <c r="A124" s="492"/>
      <c r="B124" s="414" t="s">
        <v>498</v>
      </c>
      <c r="C124" s="29" t="s">
        <v>419</v>
      </c>
      <c r="D124" s="413">
        <v>94.199999999999989</v>
      </c>
      <c r="E124" s="413">
        <v>98.300000000000011</v>
      </c>
      <c r="F124" s="413"/>
      <c r="G124" s="413"/>
      <c r="H124" s="413"/>
    </row>
    <row r="125" spans="1:19" ht="21" customHeight="1">
      <c r="A125" s="492"/>
      <c r="B125" s="501" t="s">
        <v>499</v>
      </c>
      <c r="C125" s="492"/>
      <c r="D125" s="492"/>
      <c r="E125" s="492"/>
      <c r="F125" s="492"/>
      <c r="G125" s="492"/>
      <c r="H125" s="492"/>
      <c r="I125" s="492"/>
      <c r="J125" s="492"/>
      <c r="K125" s="29"/>
    </row>
    <row r="126" spans="1:19">
      <c r="A126" s="492">
        <v>1</v>
      </c>
      <c r="B126" s="414" t="s">
        <v>500</v>
      </c>
      <c r="C126" s="29" t="s">
        <v>419</v>
      </c>
      <c r="D126" s="413">
        <v>84.9</v>
      </c>
      <c r="E126" s="498">
        <v>81.440612300000012</v>
      </c>
      <c r="F126" s="498"/>
      <c r="G126" s="498"/>
      <c r="H126" s="502"/>
    </row>
    <row r="127" spans="1:19">
      <c r="A127" s="492">
        <v>2</v>
      </c>
      <c r="B127" s="414" t="s">
        <v>793</v>
      </c>
      <c r="C127" s="29" t="s">
        <v>419</v>
      </c>
      <c r="D127" s="495">
        <v>0</v>
      </c>
      <c r="E127" s="487">
        <v>0</v>
      </c>
      <c r="F127" s="487"/>
      <c r="G127" s="487"/>
      <c r="H127" s="503"/>
    </row>
    <row r="128" spans="1:19">
      <c r="A128" s="492">
        <v>3</v>
      </c>
      <c r="B128" s="414" t="s">
        <v>807</v>
      </c>
      <c r="C128" s="29" t="s">
        <v>419</v>
      </c>
      <c r="D128" s="496">
        <v>0</v>
      </c>
      <c r="E128" s="497">
        <v>0</v>
      </c>
      <c r="F128" s="497"/>
      <c r="G128" s="497"/>
      <c r="H128" s="504"/>
    </row>
    <row r="129" spans="1:14">
      <c r="A129" s="492"/>
      <c r="B129" s="494" t="s">
        <v>501</v>
      </c>
      <c r="C129" s="29" t="s">
        <v>419</v>
      </c>
      <c r="D129" s="526">
        <f>SUM(D126:D128)</f>
        <v>84.9</v>
      </c>
      <c r="E129" s="526">
        <f t="shared" ref="E129:H129" si="55">SUM(E126:E128)</f>
        <v>81.440612300000012</v>
      </c>
      <c r="F129" s="526">
        <f t="shared" si="55"/>
        <v>0</v>
      </c>
      <c r="G129" s="526">
        <f t="shared" si="55"/>
        <v>0</v>
      </c>
      <c r="H129" s="526">
        <f t="shared" si="55"/>
        <v>0</v>
      </c>
    </row>
    <row r="130" spans="1:14">
      <c r="A130" s="492"/>
      <c r="B130" s="494"/>
      <c r="C130" s="494"/>
      <c r="D130" s="494"/>
      <c r="E130" s="494"/>
      <c r="F130" s="494"/>
      <c r="G130" s="494"/>
      <c r="H130" s="494"/>
      <c r="I130" s="494"/>
      <c r="J130" s="494"/>
      <c r="K130" s="494"/>
      <c r="L130" s="494"/>
      <c r="M130" s="494"/>
      <c r="N130" s="494"/>
    </row>
    <row r="131" spans="1:14" s="501" customFormat="1" ht="15" customHeight="1">
      <c r="B131" s="505" t="s">
        <v>502</v>
      </c>
      <c r="C131" s="135" t="s">
        <v>419</v>
      </c>
      <c r="D131" s="510">
        <f>SUM(D122,D124,D129)</f>
        <v>367.16170523000017</v>
      </c>
      <c r="E131" s="510">
        <f t="shared" ref="E131:H131" si="56">SUM(E122,E124,E129)</f>
        <v>405.20289850999961</v>
      </c>
      <c r="F131" s="510">
        <f t="shared" si="56"/>
        <v>0</v>
      </c>
      <c r="G131" s="510">
        <f t="shared" si="56"/>
        <v>0</v>
      </c>
      <c r="H131" s="510">
        <f t="shared" si="56"/>
        <v>0</v>
      </c>
    </row>
    <row r="132" spans="1:14" ht="10.5" customHeight="1">
      <c r="B132" s="341"/>
      <c r="D132" s="506"/>
      <c r="E132" s="506"/>
      <c r="F132" s="506"/>
      <c r="G132" s="506"/>
      <c r="H132" s="506"/>
    </row>
    <row r="133" spans="1:14" ht="26.45" customHeight="1">
      <c r="B133" s="494" t="s">
        <v>503</v>
      </c>
    </row>
    <row r="134" spans="1:14">
      <c r="B134" s="507" t="s">
        <v>504</v>
      </c>
    </row>
    <row r="135" spans="1:14">
      <c r="A135" s="492">
        <v>1</v>
      </c>
      <c r="B135" s="414" t="s">
        <v>498</v>
      </c>
      <c r="C135" s="29" t="s">
        <v>419</v>
      </c>
      <c r="D135" s="508">
        <v>-94.199999999999989</v>
      </c>
      <c r="E135" s="508">
        <v>-98.300000000000011</v>
      </c>
      <c r="F135" s="508"/>
      <c r="G135" s="508"/>
      <c r="H135" s="508"/>
    </row>
    <row r="136" spans="1:14" ht="6.95" customHeight="1">
      <c r="A136" s="492"/>
      <c r="B136" s="492"/>
      <c r="C136" s="492"/>
      <c r="D136" s="492"/>
      <c r="E136" s="492"/>
    </row>
    <row r="137" spans="1:14">
      <c r="A137" s="492">
        <v>2</v>
      </c>
      <c r="B137" s="414" t="s">
        <v>809</v>
      </c>
      <c r="C137" s="29" t="s">
        <v>419</v>
      </c>
      <c r="D137" s="508">
        <v>-0.21149863047470507</v>
      </c>
      <c r="E137" s="508">
        <v>2.7605116258450231</v>
      </c>
      <c r="F137" s="508"/>
      <c r="G137" s="508"/>
      <c r="H137" s="508"/>
    </row>
    <row r="138" spans="1:14">
      <c r="A138" s="492">
        <v>3</v>
      </c>
      <c r="B138" s="414" t="s">
        <v>810</v>
      </c>
      <c r="C138" s="29" t="s">
        <v>419</v>
      </c>
      <c r="D138" s="508">
        <v>2.9581021429088246</v>
      </c>
      <c r="E138" s="508">
        <v>1.233265178360478</v>
      </c>
      <c r="F138" s="508"/>
      <c r="G138" s="508"/>
      <c r="H138" s="508"/>
    </row>
    <row r="139" spans="1:14">
      <c r="A139" s="492">
        <v>4</v>
      </c>
      <c r="B139" s="414" t="s">
        <v>811</v>
      </c>
      <c r="C139" s="29" t="s">
        <v>419</v>
      </c>
      <c r="D139" s="508">
        <v>0.25068044070000006</v>
      </c>
      <c r="E139" s="508">
        <v>0.46433284540000008</v>
      </c>
      <c r="F139" s="508"/>
      <c r="G139" s="508"/>
      <c r="H139" s="508"/>
    </row>
    <row r="140" spans="1:14">
      <c r="A140" s="492">
        <v>5</v>
      </c>
      <c r="B140" s="414" t="s">
        <v>812</v>
      </c>
      <c r="C140" s="29" t="s">
        <v>419</v>
      </c>
      <c r="D140" s="508">
        <v>0.32418806837391401</v>
      </c>
      <c r="E140" s="508">
        <v>4.9891553624760832E-2</v>
      </c>
      <c r="F140" s="508"/>
      <c r="G140" s="508"/>
      <c r="H140" s="508"/>
    </row>
    <row r="141" spans="1:14">
      <c r="A141" s="492">
        <v>6</v>
      </c>
      <c r="B141" s="414" t="s">
        <v>813</v>
      </c>
      <c r="C141" s="29" t="s">
        <v>419</v>
      </c>
      <c r="D141" s="508">
        <v>9</v>
      </c>
      <c r="E141" s="508">
        <v>10.080642210000001</v>
      </c>
      <c r="F141" s="508"/>
      <c r="G141" s="508"/>
      <c r="H141" s="508"/>
    </row>
    <row r="142" spans="1:14">
      <c r="A142" s="492">
        <v>7</v>
      </c>
      <c r="B142" s="414" t="s">
        <v>814</v>
      </c>
      <c r="C142" s="29" t="s">
        <v>419</v>
      </c>
      <c r="D142" s="508">
        <v>-4.8600000000000003</v>
      </c>
      <c r="E142" s="508">
        <v>0</v>
      </c>
      <c r="F142" s="508"/>
      <c r="G142" s="508"/>
      <c r="H142" s="508"/>
    </row>
    <row r="143" spans="1:14">
      <c r="A143" s="492">
        <v>8</v>
      </c>
      <c r="B143" s="414" t="s">
        <v>793</v>
      </c>
      <c r="C143" s="29" t="s">
        <v>419</v>
      </c>
      <c r="D143" s="508">
        <v>0</v>
      </c>
      <c r="E143" s="508">
        <v>0</v>
      </c>
      <c r="F143" s="508"/>
      <c r="G143" s="508"/>
      <c r="H143" s="508"/>
    </row>
    <row r="144" spans="1:14">
      <c r="A144" s="492">
        <v>9</v>
      </c>
      <c r="B144" s="414" t="s">
        <v>807</v>
      </c>
      <c r="C144" s="29" t="s">
        <v>419</v>
      </c>
      <c r="D144" s="508">
        <v>0</v>
      </c>
      <c r="E144" s="508">
        <v>0</v>
      </c>
      <c r="F144" s="508"/>
      <c r="G144" s="508"/>
      <c r="H144" s="508"/>
    </row>
    <row r="145" spans="1:19">
      <c r="A145" s="492">
        <v>10</v>
      </c>
      <c r="B145" s="414" t="s">
        <v>807</v>
      </c>
      <c r="C145" s="29" t="s">
        <v>419</v>
      </c>
      <c r="D145" s="508">
        <v>0</v>
      </c>
      <c r="E145" s="508">
        <v>0</v>
      </c>
      <c r="F145" s="508"/>
      <c r="G145" s="508"/>
      <c r="H145" s="508"/>
    </row>
    <row r="146" spans="1:19">
      <c r="A146" s="492">
        <v>11</v>
      </c>
      <c r="B146" s="414" t="s">
        <v>807</v>
      </c>
      <c r="C146" s="29" t="s">
        <v>419</v>
      </c>
      <c r="D146" s="508">
        <v>0</v>
      </c>
      <c r="E146" s="508">
        <v>0</v>
      </c>
      <c r="F146" s="508"/>
      <c r="G146" s="508"/>
      <c r="H146" s="508"/>
    </row>
    <row r="147" spans="1:19">
      <c r="A147" s="492">
        <v>12</v>
      </c>
      <c r="B147" s="414" t="s">
        <v>807</v>
      </c>
      <c r="C147" s="29" t="s">
        <v>419</v>
      </c>
      <c r="D147" s="508">
        <v>0</v>
      </c>
      <c r="E147" s="508">
        <v>0</v>
      </c>
      <c r="F147" s="508"/>
      <c r="G147" s="508"/>
      <c r="H147" s="508"/>
    </row>
    <row r="148" spans="1:19">
      <c r="A148" s="492">
        <v>13</v>
      </c>
      <c r="B148" s="414" t="s">
        <v>807</v>
      </c>
      <c r="C148" s="29" t="s">
        <v>419</v>
      </c>
      <c r="D148" s="508">
        <v>0</v>
      </c>
      <c r="E148" s="508">
        <v>0</v>
      </c>
      <c r="F148" s="508"/>
      <c r="G148" s="508"/>
      <c r="H148" s="508"/>
    </row>
    <row r="149" spans="1:19">
      <c r="A149" s="492">
        <v>14</v>
      </c>
      <c r="B149" s="414" t="s">
        <v>807</v>
      </c>
      <c r="C149" s="29" t="s">
        <v>419</v>
      </c>
      <c r="D149" s="508">
        <v>0</v>
      </c>
      <c r="E149" s="508">
        <v>0</v>
      </c>
      <c r="F149" s="508"/>
      <c r="G149" s="508"/>
      <c r="H149" s="508"/>
    </row>
    <row r="150" spans="1:19" ht="18.600000000000001" customHeight="1">
      <c r="A150" s="492"/>
      <c r="B150" s="341" t="s">
        <v>505</v>
      </c>
      <c r="C150" s="29" t="s">
        <v>419</v>
      </c>
      <c r="D150" s="527">
        <f>SUM(D137:D149)</f>
        <v>7.4614720215080323</v>
      </c>
      <c r="E150" s="527">
        <f t="shared" ref="E150:H150" si="57">SUM(E137:E149)</f>
        <v>14.588643413230262</v>
      </c>
      <c r="F150" s="527">
        <f t="shared" si="57"/>
        <v>0</v>
      </c>
      <c r="G150" s="527">
        <f t="shared" si="57"/>
        <v>0</v>
      </c>
      <c r="H150" s="527">
        <f t="shared" si="57"/>
        <v>0</v>
      </c>
    </row>
    <row r="151" spans="1:19">
      <c r="A151" s="492"/>
      <c r="B151" s="507" t="s">
        <v>506</v>
      </c>
      <c r="C151" s="494"/>
      <c r="D151" s="494"/>
      <c r="E151" s="494"/>
      <c r="F151" s="494"/>
      <c r="G151" s="494"/>
      <c r="H151" s="494"/>
    </row>
    <row r="152" spans="1:19">
      <c r="A152" s="492">
        <v>15</v>
      </c>
      <c r="B152" s="414" t="s">
        <v>815</v>
      </c>
      <c r="C152" s="29" t="s">
        <v>419</v>
      </c>
      <c r="D152" s="413">
        <v>-0.97375858526570935</v>
      </c>
      <c r="E152" s="413">
        <v>-0.97375858526570935</v>
      </c>
      <c r="F152" s="413"/>
      <c r="G152" s="413"/>
      <c r="H152" s="413"/>
    </row>
    <row r="153" spans="1:19">
      <c r="A153" s="492">
        <v>16</v>
      </c>
      <c r="B153" s="414" t="s">
        <v>816</v>
      </c>
      <c r="C153" s="29" t="s">
        <v>419</v>
      </c>
      <c r="D153" s="413">
        <v>-2.9181459103976901</v>
      </c>
      <c r="E153" s="413">
        <v>-1.8069662134641451</v>
      </c>
      <c r="F153" s="413"/>
      <c r="G153" s="413"/>
      <c r="H153" s="413"/>
    </row>
    <row r="154" spans="1:19">
      <c r="A154" s="492">
        <v>17</v>
      </c>
      <c r="B154" s="414" t="s">
        <v>817</v>
      </c>
      <c r="C154" s="29" t="s">
        <v>419</v>
      </c>
      <c r="D154" s="413">
        <v>0</v>
      </c>
      <c r="E154" s="413">
        <v>0</v>
      </c>
      <c r="F154" s="413"/>
      <c r="G154" s="413"/>
      <c r="H154" s="413"/>
    </row>
    <row r="155" spans="1:19">
      <c r="A155" s="492">
        <v>18</v>
      </c>
      <c r="B155" s="414" t="s">
        <v>818</v>
      </c>
      <c r="C155" s="29" t="s">
        <v>419</v>
      </c>
      <c r="D155" s="413">
        <v>6.9817463011400038</v>
      </c>
      <c r="E155" s="413">
        <v>3.9319950361474261</v>
      </c>
      <c r="F155" s="413"/>
      <c r="G155" s="413"/>
      <c r="H155" s="413"/>
      <c r="R155" s="104"/>
      <c r="S155" s="104"/>
    </row>
    <row r="156" spans="1:19">
      <c r="A156" s="492">
        <v>19</v>
      </c>
      <c r="B156" s="414" t="s">
        <v>793</v>
      </c>
      <c r="C156" s="29" t="s">
        <v>419</v>
      </c>
      <c r="D156" s="413">
        <v>0</v>
      </c>
      <c r="E156" s="413">
        <v>0</v>
      </c>
      <c r="F156" s="413"/>
      <c r="G156" s="413"/>
      <c r="H156" s="413"/>
      <c r="R156" s="104"/>
      <c r="S156" s="104"/>
    </row>
    <row r="157" spans="1:19">
      <c r="A157" s="492">
        <v>20</v>
      </c>
      <c r="B157" s="414" t="s">
        <v>793</v>
      </c>
      <c r="C157" s="29" t="s">
        <v>419</v>
      </c>
      <c r="D157" s="413">
        <v>0</v>
      </c>
      <c r="E157" s="413">
        <v>0</v>
      </c>
      <c r="F157" s="413"/>
      <c r="G157" s="413"/>
      <c r="H157" s="413"/>
      <c r="R157" s="104"/>
      <c r="S157" s="104"/>
    </row>
    <row r="158" spans="1:19">
      <c r="A158" s="492">
        <v>21</v>
      </c>
      <c r="B158" s="414" t="s">
        <v>793</v>
      </c>
      <c r="C158" s="29" t="s">
        <v>419</v>
      </c>
      <c r="D158" s="413">
        <v>0</v>
      </c>
      <c r="E158" s="413">
        <v>0</v>
      </c>
      <c r="F158" s="413"/>
      <c r="G158" s="413"/>
      <c r="H158" s="413"/>
      <c r="R158" s="104"/>
      <c r="S158" s="104"/>
    </row>
    <row r="159" spans="1:19" ht="19.5" customHeight="1" thickBot="1">
      <c r="A159" s="492"/>
      <c r="B159" s="341" t="s">
        <v>507</v>
      </c>
      <c r="C159" s="29" t="s">
        <v>419</v>
      </c>
      <c r="D159" s="528">
        <f>SUM(D152:D158)</f>
        <v>3.0898418054766044</v>
      </c>
      <c r="E159" s="528">
        <f t="shared" ref="E159:H159" si="58">SUM(E152:E158)</f>
        <v>1.1512702374175716</v>
      </c>
      <c r="F159" s="528">
        <f t="shared" si="58"/>
        <v>0</v>
      </c>
      <c r="G159" s="528">
        <f t="shared" si="58"/>
        <v>0</v>
      </c>
      <c r="H159" s="528">
        <f t="shared" si="58"/>
        <v>0</v>
      </c>
      <c r="R159" s="104"/>
      <c r="S159" s="104"/>
    </row>
    <row r="160" spans="1:19" ht="17.45" customHeight="1" thickBot="1">
      <c r="B160" s="494" t="s">
        <v>508</v>
      </c>
      <c r="C160" s="29" t="s">
        <v>419</v>
      </c>
      <c r="D160" s="529">
        <f>D135+D150+D159</f>
        <v>-83.648686173015349</v>
      </c>
      <c r="E160" s="530">
        <f>E135+E150+E159</f>
        <v>-82.560086349352176</v>
      </c>
      <c r="F160" s="530">
        <f>F135+F150+F159</f>
        <v>0</v>
      </c>
      <c r="G160" s="530">
        <f>G135+G150+G159</f>
        <v>0</v>
      </c>
      <c r="H160" s="531">
        <f>H135+H150+H159</f>
        <v>0</v>
      </c>
      <c r="R160" s="104"/>
      <c r="S160" s="104"/>
    </row>
    <row r="161" spans="1:19">
      <c r="B161" s="341"/>
      <c r="D161" s="506"/>
      <c r="E161" s="506"/>
      <c r="F161" s="506"/>
      <c r="G161" s="506"/>
      <c r="H161" s="506"/>
      <c r="R161" s="104"/>
      <c r="S161" s="104"/>
    </row>
    <row r="162" spans="1:19">
      <c r="B162" s="494" t="s">
        <v>509</v>
      </c>
      <c r="C162" s="29" t="s">
        <v>419</v>
      </c>
      <c r="D162" s="510">
        <f>D160+D131</f>
        <v>283.51301905698483</v>
      </c>
      <c r="E162" s="510">
        <f>E160+E131</f>
        <v>322.64281216064745</v>
      </c>
      <c r="F162" s="510">
        <f>F160+F131</f>
        <v>0</v>
      </c>
      <c r="G162" s="510">
        <f>G160+G131</f>
        <v>0</v>
      </c>
      <c r="H162" s="510">
        <f>H160+H131</f>
        <v>0</v>
      </c>
      <c r="R162" s="440"/>
      <c r="S162" s="104"/>
    </row>
    <row r="163" spans="1:19">
      <c r="B163" s="341" t="s">
        <v>510</v>
      </c>
      <c r="C163" s="29" t="s">
        <v>23</v>
      </c>
      <c r="D163" s="509">
        <v>261.38591911814876</v>
      </c>
      <c r="E163" s="509">
        <v>273.43205353727859</v>
      </c>
      <c r="F163" s="509"/>
      <c r="G163" s="509"/>
      <c r="H163" s="509"/>
      <c r="I163" s="341" t="s">
        <v>511</v>
      </c>
      <c r="R163" s="104"/>
      <c r="S163" s="104"/>
    </row>
    <row r="164" spans="1:19">
      <c r="B164" s="341" t="s">
        <v>512</v>
      </c>
      <c r="C164" s="29" t="s">
        <v>419</v>
      </c>
      <c r="D164" s="509">
        <v>0</v>
      </c>
      <c r="E164" s="509">
        <v>0</v>
      </c>
      <c r="F164" s="509"/>
      <c r="G164" s="509"/>
      <c r="H164" s="509"/>
      <c r="I164" s="341" t="s">
        <v>511</v>
      </c>
    </row>
    <row r="165" spans="1:19">
      <c r="B165" s="341" t="s">
        <v>513</v>
      </c>
      <c r="C165" s="29" t="s">
        <v>419</v>
      </c>
      <c r="D165" s="532">
        <f>IF(A2="ESO",D164,D163*INDEX(real_to_nominal_CF,MATCH(D6,calendar_year,0)))</f>
        <v>283.54714009299045</v>
      </c>
      <c r="E165" s="532">
        <f>IF(B2="ESO",E164,E163*INDEX(real_to_nominal_CF,MATCH(E6,calendar_year,0)))</f>
        <v>322.63992901524739</v>
      </c>
      <c r="F165" s="532">
        <f>IF(C2="ESO",F164,F163*INDEX(real_to_nominal_CF,MATCH(F6,calendar_year,0)))</f>
        <v>0</v>
      </c>
      <c r="G165" s="532">
        <f>IF(D2="ESO",G164,G163*INDEX(real_to_nominal_CF,MATCH(G6,calendar_year,0)))</f>
        <v>0</v>
      </c>
      <c r="H165" s="532">
        <f>IF(E2="ESO",H164,H163*INDEX(real_to_nominal_CF,MATCH(H6,calendar_year,0)))</f>
        <v>0</v>
      </c>
      <c r="I165" s="104"/>
      <c r="R165" s="104"/>
      <c r="S165" s="104"/>
    </row>
    <row r="166" spans="1:19">
      <c r="B166" s="341"/>
      <c r="C166" s="29" t="s">
        <v>514</v>
      </c>
      <c r="D166" s="533" t="str">
        <f>IF(D$108="Actuals",IF(ABS(D162-D165)&lt;materiality_threshold,"OK","ERROR"),"N/A")</f>
        <v>OK</v>
      </c>
      <c r="E166" s="533" t="str">
        <f>IF(E$108="Actuals",IF(ABS(E162-E165)&lt;materiality_threshold,"OK","ERROR"),"N/A")</f>
        <v>OK</v>
      </c>
      <c r="F166" s="533" t="str">
        <f>IF(F$108="Actuals",IF(ABS(F162-F165)&lt;materiality_threshold,"OK","ERROR"),"N/A")</f>
        <v>N/A</v>
      </c>
      <c r="G166" s="533" t="str">
        <f>IF(G$108="Actuals",IF(ABS(G162-G165)&lt;materiality_threshold,"OK","ERROR"),"N/A")</f>
        <v>N/A</v>
      </c>
      <c r="H166" s="533" t="str">
        <f>IF(H$108="Actuals",IF(ABS(H162-H165)&lt;materiality_threshold,"OK","ERROR"),"N/A")</f>
        <v>N/A</v>
      </c>
      <c r="R166" s="104"/>
      <c r="S166" s="104"/>
    </row>
    <row r="167" spans="1:19">
      <c r="B167" s="341" t="s">
        <v>235</v>
      </c>
      <c r="R167" s="104"/>
      <c r="S167" s="104"/>
    </row>
    <row r="168" spans="1:19">
      <c r="B168" s="494" t="s">
        <v>515</v>
      </c>
    </row>
    <row r="169" spans="1:19">
      <c r="A169" s="492">
        <v>1</v>
      </c>
      <c r="B169" s="414" t="s">
        <v>819</v>
      </c>
      <c r="C169" s="29" t="s">
        <v>419</v>
      </c>
      <c r="D169" s="413">
        <v>39.419655659638714</v>
      </c>
      <c r="E169" s="413">
        <v>40.268723319704186</v>
      </c>
      <c r="F169" s="413"/>
      <c r="G169" s="413"/>
      <c r="H169" s="413"/>
    </row>
    <row r="170" spans="1:19">
      <c r="A170" s="492">
        <v>2</v>
      </c>
      <c r="B170" s="414" t="s">
        <v>820</v>
      </c>
      <c r="C170" s="29" t="s">
        <v>419</v>
      </c>
      <c r="D170" s="495">
        <v>1.5883589701083123</v>
      </c>
      <c r="E170" s="487">
        <v>1.2656170665020035</v>
      </c>
      <c r="F170" s="487"/>
      <c r="G170" s="487"/>
      <c r="H170" s="487"/>
    </row>
    <row r="171" spans="1:19">
      <c r="A171" s="492">
        <v>3</v>
      </c>
      <c r="B171" s="414" t="s">
        <v>821</v>
      </c>
      <c r="C171" s="29" t="s">
        <v>419</v>
      </c>
      <c r="D171" s="495">
        <v>1.2203571100000017</v>
      </c>
      <c r="E171" s="487">
        <v>3.3370649999999999</v>
      </c>
      <c r="F171" s="487"/>
      <c r="G171" s="487"/>
      <c r="H171" s="487"/>
    </row>
    <row r="172" spans="1:19">
      <c r="A172" s="492">
        <v>4</v>
      </c>
      <c r="B172" s="414" t="s">
        <v>822</v>
      </c>
      <c r="C172" s="29" t="s">
        <v>419</v>
      </c>
      <c r="D172" s="495">
        <v>0</v>
      </c>
      <c r="E172" s="487">
        <v>0</v>
      </c>
      <c r="F172" s="487"/>
      <c r="G172" s="487"/>
      <c r="H172" s="487"/>
    </row>
    <row r="173" spans="1:19">
      <c r="A173" s="492">
        <v>5</v>
      </c>
      <c r="B173" s="414" t="s">
        <v>793</v>
      </c>
      <c r="C173" s="29" t="s">
        <v>419</v>
      </c>
      <c r="D173" s="495">
        <v>0</v>
      </c>
      <c r="E173" s="487">
        <v>0</v>
      </c>
      <c r="F173" s="487"/>
      <c r="G173" s="487"/>
      <c r="H173" s="487"/>
    </row>
    <row r="174" spans="1:19">
      <c r="A174" s="492">
        <v>6</v>
      </c>
      <c r="B174" s="414" t="s">
        <v>793</v>
      </c>
      <c r="C174" s="29" t="s">
        <v>419</v>
      </c>
      <c r="D174" s="495">
        <v>0</v>
      </c>
      <c r="E174" s="487">
        <v>0</v>
      </c>
      <c r="F174" s="487"/>
      <c r="G174" s="487"/>
      <c r="H174" s="487"/>
    </row>
    <row r="175" spans="1:19">
      <c r="A175" s="492">
        <v>7</v>
      </c>
      <c r="B175" s="414" t="s">
        <v>793</v>
      </c>
      <c r="C175" s="29" t="s">
        <v>419</v>
      </c>
      <c r="D175" s="495">
        <v>0</v>
      </c>
      <c r="E175" s="487">
        <v>0</v>
      </c>
      <c r="F175" s="487"/>
      <c r="G175" s="487"/>
      <c r="H175" s="487"/>
    </row>
    <row r="176" spans="1:19">
      <c r="A176" s="492">
        <v>8</v>
      </c>
      <c r="B176" s="414" t="s">
        <v>793</v>
      </c>
      <c r="C176" s="29" t="s">
        <v>419</v>
      </c>
      <c r="D176" s="495">
        <v>0</v>
      </c>
      <c r="E176" s="487">
        <v>0</v>
      </c>
      <c r="F176" s="487"/>
      <c r="G176" s="487"/>
      <c r="H176" s="487"/>
    </row>
    <row r="177" spans="1:19">
      <c r="A177" s="492">
        <v>9</v>
      </c>
      <c r="B177" s="414" t="s">
        <v>793</v>
      </c>
      <c r="C177" s="29" t="s">
        <v>419</v>
      </c>
      <c r="D177" s="495">
        <v>0</v>
      </c>
      <c r="E177" s="487">
        <v>0</v>
      </c>
      <c r="F177" s="487"/>
      <c r="G177" s="487"/>
      <c r="H177" s="487"/>
    </row>
    <row r="178" spans="1:19">
      <c r="A178" s="492">
        <v>10</v>
      </c>
      <c r="B178" s="414" t="s">
        <v>793</v>
      </c>
      <c r="C178" s="29" t="s">
        <v>419</v>
      </c>
      <c r="D178" s="495">
        <v>0</v>
      </c>
      <c r="E178" s="487">
        <v>0</v>
      </c>
      <c r="F178" s="487"/>
      <c r="G178" s="487"/>
      <c r="H178" s="487"/>
    </row>
    <row r="179" spans="1:19">
      <c r="A179" s="492">
        <v>11</v>
      </c>
      <c r="B179" s="414" t="s">
        <v>793</v>
      </c>
      <c r="C179" s="29" t="s">
        <v>419</v>
      </c>
      <c r="D179" s="495">
        <v>0</v>
      </c>
      <c r="E179" s="487">
        <v>0</v>
      </c>
      <c r="F179" s="487"/>
      <c r="G179" s="487"/>
      <c r="H179" s="487"/>
    </row>
    <row r="180" spans="1:19">
      <c r="A180" s="492">
        <v>12</v>
      </c>
      <c r="B180" s="414" t="s">
        <v>793</v>
      </c>
      <c r="C180" s="29" t="s">
        <v>419</v>
      </c>
      <c r="D180" s="495">
        <v>0</v>
      </c>
      <c r="E180" s="487">
        <v>0</v>
      </c>
      <c r="F180" s="487"/>
      <c r="G180" s="487"/>
      <c r="H180" s="487"/>
    </row>
    <row r="181" spans="1:19">
      <c r="A181" s="492">
        <v>13</v>
      </c>
      <c r="B181" s="414" t="s">
        <v>793</v>
      </c>
      <c r="C181" s="29" t="s">
        <v>419</v>
      </c>
      <c r="D181" s="495">
        <v>0</v>
      </c>
      <c r="E181" s="487">
        <v>0</v>
      </c>
      <c r="F181" s="487"/>
      <c r="G181" s="487"/>
      <c r="H181" s="487"/>
    </row>
    <row r="182" spans="1:19">
      <c r="A182" s="492">
        <v>14</v>
      </c>
      <c r="B182" s="414" t="s">
        <v>793</v>
      </c>
      <c r="C182" s="29" t="s">
        <v>419</v>
      </c>
      <c r="D182" s="495">
        <v>0</v>
      </c>
      <c r="E182" s="487">
        <v>0</v>
      </c>
      <c r="F182" s="487"/>
      <c r="G182" s="487"/>
      <c r="H182" s="487"/>
      <c r="R182" s="104"/>
      <c r="S182" s="104"/>
    </row>
    <row r="183" spans="1:19">
      <c r="A183" s="492">
        <v>15</v>
      </c>
      <c r="B183" s="414" t="s">
        <v>793</v>
      </c>
      <c r="C183" s="29" t="s">
        <v>419</v>
      </c>
      <c r="D183" s="495">
        <v>0</v>
      </c>
      <c r="E183" s="487">
        <v>0</v>
      </c>
      <c r="F183" s="487"/>
      <c r="G183" s="487"/>
      <c r="H183" s="487"/>
      <c r="R183" s="104"/>
      <c r="S183" s="104"/>
    </row>
    <row r="184" spans="1:19">
      <c r="A184" s="492">
        <v>16</v>
      </c>
      <c r="B184" s="414" t="s">
        <v>793</v>
      </c>
      <c r="C184" s="29" t="s">
        <v>419</v>
      </c>
      <c r="D184" s="495">
        <v>0</v>
      </c>
      <c r="E184" s="487">
        <v>0</v>
      </c>
      <c r="F184" s="487"/>
      <c r="G184" s="487"/>
      <c r="H184" s="487"/>
      <c r="R184" s="104"/>
      <c r="S184" s="104"/>
    </row>
    <row r="185" spans="1:19">
      <c r="A185" s="492">
        <v>17</v>
      </c>
      <c r="B185" s="414" t="s">
        <v>793</v>
      </c>
      <c r="C185" s="29" t="s">
        <v>419</v>
      </c>
      <c r="D185" s="495">
        <v>0</v>
      </c>
      <c r="E185" s="487">
        <v>0</v>
      </c>
      <c r="F185" s="487"/>
      <c r="G185" s="487"/>
      <c r="H185" s="487"/>
      <c r="R185" s="104"/>
      <c r="S185" s="104"/>
    </row>
    <row r="186" spans="1:19">
      <c r="A186" s="492">
        <v>18</v>
      </c>
      <c r="B186" s="414" t="s">
        <v>793</v>
      </c>
      <c r="C186" s="29" t="s">
        <v>419</v>
      </c>
      <c r="D186" s="495">
        <v>0</v>
      </c>
      <c r="E186" s="487">
        <v>0</v>
      </c>
      <c r="F186" s="487"/>
      <c r="G186" s="487"/>
      <c r="H186" s="487"/>
      <c r="R186" s="104"/>
      <c r="S186" s="104"/>
    </row>
    <row r="187" spans="1:19">
      <c r="A187" s="492">
        <v>19</v>
      </c>
      <c r="B187" s="414" t="s">
        <v>793</v>
      </c>
      <c r="C187" s="29" t="s">
        <v>419</v>
      </c>
      <c r="D187" s="495">
        <v>0</v>
      </c>
      <c r="E187" s="487">
        <v>0</v>
      </c>
      <c r="F187" s="487"/>
      <c r="G187" s="487"/>
      <c r="H187" s="487"/>
      <c r="R187" s="104"/>
      <c r="S187" s="104"/>
    </row>
    <row r="188" spans="1:19">
      <c r="A188" s="492">
        <v>20</v>
      </c>
      <c r="B188" s="414" t="s">
        <v>793</v>
      </c>
      <c r="C188" s="29" t="s">
        <v>419</v>
      </c>
      <c r="D188" s="495">
        <v>0</v>
      </c>
      <c r="E188" s="487">
        <v>0</v>
      </c>
      <c r="F188" s="487"/>
      <c r="G188" s="487"/>
      <c r="H188" s="487"/>
      <c r="R188" s="104"/>
      <c r="S188" s="104"/>
    </row>
    <row r="189" spans="1:19">
      <c r="A189" s="492">
        <v>21</v>
      </c>
      <c r="B189" s="414" t="s">
        <v>793</v>
      </c>
      <c r="C189" s="29" t="s">
        <v>419</v>
      </c>
      <c r="D189" s="495">
        <v>0</v>
      </c>
      <c r="E189" s="487">
        <v>0</v>
      </c>
      <c r="F189" s="487"/>
      <c r="G189" s="487"/>
      <c r="H189" s="487"/>
      <c r="R189" s="104"/>
      <c r="S189" s="104"/>
    </row>
    <row r="190" spans="1:19">
      <c r="A190" s="492">
        <v>22</v>
      </c>
      <c r="B190" s="414" t="s">
        <v>793</v>
      </c>
      <c r="C190" s="29" t="s">
        <v>419</v>
      </c>
      <c r="D190" s="495">
        <v>0</v>
      </c>
      <c r="E190" s="487">
        <v>0</v>
      </c>
      <c r="F190" s="487"/>
      <c r="G190" s="487"/>
      <c r="H190" s="487"/>
      <c r="R190" s="104"/>
      <c r="S190" s="104"/>
    </row>
    <row r="191" spans="1:19">
      <c r="A191" s="492">
        <v>23</v>
      </c>
      <c r="B191" s="414" t="s">
        <v>793</v>
      </c>
      <c r="C191" s="29" t="s">
        <v>419</v>
      </c>
      <c r="D191" s="495">
        <v>0</v>
      </c>
      <c r="E191" s="487">
        <v>0</v>
      </c>
      <c r="F191" s="487"/>
      <c r="G191" s="487"/>
      <c r="H191" s="487"/>
      <c r="R191" s="104"/>
      <c r="S191" s="104"/>
    </row>
    <row r="192" spans="1:19">
      <c r="A192" s="492">
        <v>24</v>
      </c>
      <c r="B192" s="414" t="s">
        <v>793</v>
      </c>
      <c r="C192" s="29" t="s">
        <v>419</v>
      </c>
      <c r="D192" s="495">
        <v>0</v>
      </c>
      <c r="E192" s="487">
        <v>0</v>
      </c>
      <c r="F192" s="487"/>
      <c r="G192" s="487"/>
      <c r="H192" s="487"/>
      <c r="R192" s="440"/>
      <c r="S192" s="104"/>
    </row>
    <row r="193" spans="1:19">
      <c r="A193" s="492">
        <v>25</v>
      </c>
      <c r="B193" s="414" t="s">
        <v>793</v>
      </c>
      <c r="C193" s="29" t="s">
        <v>419</v>
      </c>
      <c r="D193" s="495">
        <v>0</v>
      </c>
      <c r="E193" s="487">
        <v>0</v>
      </c>
      <c r="F193" s="487"/>
      <c r="G193" s="487"/>
      <c r="H193" s="487"/>
      <c r="R193" s="104"/>
      <c r="S193" s="104"/>
    </row>
    <row r="194" spans="1:19">
      <c r="B194" s="494" t="s">
        <v>516</v>
      </c>
      <c r="C194" s="29" t="s">
        <v>419</v>
      </c>
      <c r="D194" s="510">
        <f>SUM(D169:D193)</f>
        <v>42.228371739747026</v>
      </c>
      <c r="E194" s="510">
        <f t="shared" ref="E194:H194" si="59">SUM(E169:E193)</f>
        <v>44.871405386206192</v>
      </c>
      <c r="F194" s="510">
        <f t="shared" si="59"/>
        <v>0</v>
      </c>
      <c r="G194" s="510">
        <f t="shared" si="59"/>
        <v>0</v>
      </c>
      <c r="H194" s="510">
        <f t="shared" si="59"/>
        <v>0</v>
      </c>
      <c r="R194" s="104"/>
      <c r="S194" s="104"/>
    </row>
    <row r="195" spans="1:19">
      <c r="B195" s="341"/>
      <c r="D195" s="29"/>
      <c r="E195" s="29"/>
      <c r="F195" s="29"/>
      <c r="G195" s="29"/>
      <c r="H195" s="29"/>
      <c r="I195" s="29"/>
      <c r="J195" s="29"/>
      <c r="R195" s="104"/>
      <c r="S195" s="104"/>
    </row>
    <row r="196" spans="1:19">
      <c r="B196" s="494" t="s">
        <v>517</v>
      </c>
      <c r="C196" s="29" t="s">
        <v>419</v>
      </c>
      <c r="D196" s="510">
        <f>D162-D194</f>
        <v>241.28464731723781</v>
      </c>
      <c r="E196" s="510">
        <f t="shared" ref="E196:H196" si="60">E162-E194</f>
        <v>277.77140677444129</v>
      </c>
      <c r="F196" s="510">
        <f t="shared" si="60"/>
        <v>0</v>
      </c>
      <c r="G196" s="510">
        <f t="shared" si="60"/>
        <v>0</v>
      </c>
      <c r="H196" s="510">
        <f t="shared" si="60"/>
        <v>0</v>
      </c>
    </row>
    <row r="197" spans="1:19">
      <c r="B197" s="494" t="s">
        <v>518</v>
      </c>
      <c r="C197" s="29" t="s">
        <v>419</v>
      </c>
      <c r="D197" s="534">
        <f>('R3 - Totex - Reconciliation'!D$13+'R3 - Totex - Reconciliation'!D$47+'R3 - Totex - Reconciliation'!D76)*INDEX(real_to_nominal_CF,MATCH(D$109,calendar_year,0))</f>
        <v>241.31876835324348</v>
      </c>
      <c r="E197" s="534">
        <f>('R3 - Totex - Reconciliation'!E$13+'R3 - Totex - Reconciliation'!E$47+'R3 - Totex - Reconciliation'!E76)*INDEX(real_to_nominal_CF,MATCH(E$109,calendar_year,0))</f>
        <v>277.76852362904117</v>
      </c>
      <c r="F197" s="534">
        <f>('R3 - Totex - Reconciliation'!F$13+'R3 - Totex - Reconciliation'!F$47+'R3 - Totex - Reconciliation'!F76)*INDEX(real_to_nominal_CF,MATCH(F$109,calendar_year,0))</f>
        <v>681.97393673717431</v>
      </c>
      <c r="G197" s="534">
        <f>('R3 - Totex - Reconciliation'!G$13+'R3 - Totex - Reconciliation'!G$47+'R3 - Totex - Reconciliation'!G76)*INDEX(real_to_nominal_CF,MATCH(G$109,calendar_year,0))</f>
        <v>742.2964295172751</v>
      </c>
      <c r="H197" s="535">
        <f>('R3 - Totex - Reconciliation'!H$13+'R3 - Totex - Reconciliation'!H$47+'R3 - Totex - Reconciliation'!H76)*INDEX(real_to_nominal_CF,MATCH(H$109,calendar_year,0))</f>
        <v>1003.9726892092893</v>
      </c>
      <c r="I197" s="341" t="s">
        <v>519</v>
      </c>
    </row>
    <row r="198" spans="1:19">
      <c r="B198" s="341"/>
      <c r="C198" s="29" t="s">
        <v>514</v>
      </c>
      <c r="D198" s="536" t="str">
        <f>IF(D$108="Actuals",IF(ABS(D196-('R3 - Totex - Reconciliation'!D13+'R3 - Totex - Reconciliation'!D47+D76)*INDEX(real_to_nominal_CF,MATCH(D6,Data!$F$26:$L$26,0)))&lt;materiality_threshold,"OK","Error"),"N/A")</f>
        <v>OK</v>
      </c>
      <c r="E198" s="536" t="str">
        <f>IF(E$108="Actuals",IF(ABS(E196-('R3 - Totex - Reconciliation'!E13+'R3 - Totex - Reconciliation'!E47+E76)*INDEX(real_to_nominal_CF,MATCH(E6,Data!$F$26:$L$26,0)))&lt;materiality_threshold,"OK","Error"),"N/A")</f>
        <v>OK</v>
      </c>
      <c r="F198" s="536" t="str">
        <f>IF(F$108="Actuals",IF(ABS(F196-('R3 - Totex - Reconciliation'!F13+'R3 - Totex - Reconciliation'!F47+F76)*INDEX(real_to_nominal_CF,MATCH(F6,Data!$F$26:$L$26,0)))&lt;materiality_threshold,"OK","Error"),"N/A")</f>
        <v>N/A</v>
      </c>
      <c r="G198" s="536" t="str">
        <f>IF(G$108="Actuals",IF(ABS(G196-('R3 - Totex - Reconciliation'!G13+'R3 - Totex - Reconciliation'!G47+G76)*INDEX(real_to_nominal_CF,MATCH(G6,Data!$F$26:$L$26,0)))&lt;materiality_threshold,"OK","Error"),"N/A")</f>
        <v>N/A</v>
      </c>
      <c r="H198" s="536" t="str">
        <f>IF(H$108="Actuals",IF(ABS(H196-('R3 - Totex - Reconciliation'!H13+'R3 - Totex - Reconciliation'!H47+H76)*INDEX(real_to_nominal_CF,MATCH(H6,Data!$F$26:$L$26,0)))&lt;materiality_threshold,"OK","Error"),"N/A")</f>
        <v>N/A</v>
      </c>
      <c r="I198" s="341" t="s">
        <v>520</v>
      </c>
    </row>
    <row r="199" spans="1:19">
      <c r="B199" s="341"/>
      <c r="C199" s="341"/>
    </row>
    <row r="200" spans="1:19">
      <c r="B200" s="440" t="s">
        <v>521</v>
      </c>
    </row>
    <row r="202" spans="1:19">
      <c r="B202" s="441" t="s">
        <v>464</v>
      </c>
      <c r="C202" s="104"/>
      <c r="D202" s="104"/>
      <c r="E202" s="104"/>
      <c r="F202" s="104"/>
    </row>
    <row r="203" spans="1:19">
      <c r="B203" s="795"/>
      <c r="C203" s="796"/>
      <c r="D203" s="796"/>
      <c r="E203" s="796"/>
      <c r="F203" s="798"/>
    </row>
    <row r="204" spans="1:19">
      <c r="B204" s="444"/>
      <c r="C204" s="445"/>
      <c r="D204" s="446"/>
      <c r="E204" s="447"/>
      <c r="F204" s="448"/>
    </row>
    <row r="205" spans="1:19">
      <c r="B205" s="444"/>
      <c r="C205" s="445"/>
      <c r="D205" s="446"/>
      <c r="E205" s="447"/>
      <c r="F205" s="448"/>
    </row>
    <row r="206" spans="1:19">
      <c r="B206" s="444"/>
      <c r="C206" s="445"/>
      <c r="D206" s="446"/>
      <c r="E206" s="447"/>
      <c r="F206" s="448"/>
    </row>
    <row r="207" spans="1:19">
      <c r="B207" s="444"/>
      <c r="C207" s="445"/>
      <c r="D207" s="446"/>
      <c r="E207" s="447"/>
      <c r="F207" s="448"/>
      <c r="R207" s="104"/>
      <c r="S207" s="104"/>
    </row>
    <row r="208" spans="1:19">
      <c r="B208" s="449"/>
      <c r="C208" s="450"/>
      <c r="D208" s="451"/>
      <c r="E208" s="452"/>
      <c r="F208" s="453"/>
    </row>
    <row r="225" spans="2:3">
      <c r="B225" s="341"/>
      <c r="C225" s="341"/>
    </row>
    <row r="226" spans="2:3">
      <c r="B226" s="341"/>
      <c r="C226" s="341"/>
    </row>
    <row r="227" spans="2:3">
      <c r="B227" s="341"/>
      <c r="C227" s="341"/>
    </row>
    <row r="228" spans="2:3">
      <c r="B228" s="341"/>
      <c r="C228" s="341"/>
    </row>
    <row r="229" spans="2:3">
      <c r="B229" s="341"/>
      <c r="C229" s="341"/>
    </row>
    <row r="230" spans="2:3">
      <c r="B230" s="341"/>
      <c r="C230" s="341"/>
    </row>
    <row r="231" spans="2:3">
      <c r="B231" s="341"/>
      <c r="C231" s="341"/>
    </row>
    <row r="232" spans="2:3">
      <c r="B232" s="341"/>
      <c r="C232" s="341"/>
    </row>
    <row r="236" spans="2:3" ht="12.75" customHeight="1"/>
    <row r="243" ht="29.25" customHeight="1"/>
  </sheetData>
  <sheetProtection insertRows="0"/>
  <mergeCells count="2">
    <mergeCell ref="K15:M15"/>
    <mergeCell ref="B203:F203"/>
  </mergeCells>
  <phoneticPr fontId="248" type="noConversion"/>
  <conditionalFormatting sqref="B40">
    <cfRule type="expression" dxfId="63" priority="46">
      <formula>$B$51="n/a"</formula>
    </cfRule>
  </conditionalFormatting>
  <conditionalFormatting sqref="B69">
    <cfRule type="expression" dxfId="62" priority="45">
      <formula>$B$51="n/a"</formula>
    </cfRule>
  </conditionalFormatting>
  <conditionalFormatting sqref="B93">
    <cfRule type="expression" dxfId="61" priority="44">
      <formula>$B$51="n/a"</formula>
    </cfRule>
  </conditionalFormatting>
  <conditionalFormatting sqref="C23:C30">
    <cfRule type="expression" dxfId="60" priority="50">
      <formula>$B$45="n/a"</formula>
    </cfRule>
  </conditionalFormatting>
  <conditionalFormatting sqref="C33:C35">
    <cfRule type="expression" dxfId="59" priority="3">
      <formula>$B$45="n/a"</formula>
    </cfRule>
  </conditionalFormatting>
  <conditionalFormatting sqref="C37:C38">
    <cfRule type="expression" dxfId="58" priority="8">
      <formula>$B$44="n/a"</formula>
    </cfRule>
  </conditionalFormatting>
  <conditionalFormatting sqref="C45 B46:C54 B73:C73 Q73:T73 C74 B75:C84 B97:C97">
    <cfRule type="expression" dxfId="57" priority="67">
      <formula>$B$45="n/a"</formula>
    </cfRule>
  </conditionalFormatting>
  <conditionalFormatting sqref="C57:C59">
    <cfRule type="expression" dxfId="56" priority="49">
      <formula>$B$45="n/a"</formula>
    </cfRule>
  </conditionalFormatting>
  <conditionalFormatting sqref="C62:C64">
    <cfRule type="expression" dxfId="55" priority="1">
      <formula>$B$45="n/a"</formula>
    </cfRule>
  </conditionalFormatting>
  <conditionalFormatting sqref="C66:C67">
    <cfRule type="expression" dxfId="54" priority="7">
      <formula>$B$44="n/a"</formula>
    </cfRule>
  </conditionalFormatting>
  <conditionalFormatting sqref="C86:C88">
    <cfRule type="expression" dxfId="53" priority="47">
      <formula>$B$45="n/a"</formula>
    </cfRule>
  </conditionalFormatting>
  <conditionalFormatting sqref="C90:C91">
    <cfRule type="expression" dxfId="52" priority="6">
      <formula>$B$44="n/a"</formula>
    </cfRule>
  </conditionalFormatting>
  <conditionalFormatting sqref="D108:G109">
    <cfRule type="expression" dxfId="51" priority="63">
      <formula>AND(D$5="Actuals",E$5="N/A")</formula>
    </cfRule>
  </conditionalFormatting>
  <conditionalFormatting sqref="D7:H7">
    <cfRule type="expression" dxfId="50" priority="56">
      <formula>AND(D$5="Actuals",E$5="Forecast")</formula>
    </cfRule>
  </conditionalFormatting>
  <conditionalFormatting sqref="D110:H110">
    <cfRule type="expression" dxfId="49" priority="55">
      <formula>AND(D$5="Actuals",E$5="Forecast")</formula>
    </cfRule>
  </conditionalFormatting>
  <conditionalFormatting sqref="D113:H121 D124:H124 D135:H135">
    <cfRule type="expression" dxfId="48" priority="53">
      <formula>D$108="N/A"</formula>
    </cfRule>
  </conditionalFormatting>
  <conditionalFormatting sqref="D126:H129 D131:H131">
    <cfRule type="expression" dxfId="47" priority="25">
      <formula>D$108="N/A"</formula>
    </cfRule>
  </conditionalFormatting>
  <conditionalFormatting sqref="D137:H150">
    <cfRule type="expression" dxfId="46" priority="11">
      <formula>D$108="N/A"</formula>
    </cfRule>
  </conditionalFormatting>
  <conditionalFormatting sqref="D152:H160">
    <cfRule type="expression" dxfId="45" priority="10">
      <formula>D$108="N/A"</formula>
    </cfRule>
  </conditionalFormatting>
  <conditionalFormatting sqref="D162:H164">
    <cfRule type="expression" dxfId="44" priority="16">
      <formula>D$108="N/A"</formula>
    </cfRule>
  </conditionalFormatting>
  <conditionalFormatting sqref="D167:H194">
    <cfRule type="expression" dxfId="43" priority="21">
      <formula>D$108="N/A"</formula>
    </cfRule>
  </conditionalFormatting>
  <conditionalFormatting sqref="E122:H122">
    <cfRule type="expression" dxfId="42" priority="43">
      <formula>E$108="N/A"</formula>
    </cfRule>
  </conditionalFormatting>
  <conditionalFormatting sqref="H5:H6">
    <cfRule type="expression" dxfId="41" priority="272">
      <formula>AND(H$5="Actuals",#REF!="Forecast")</formula>
    </cfRule>
  </conditionalFormatting>
  <conditionalFormatting sqref="H108:H109">
    <cfRule type="expression" dxfId="40" priority="289">
      <formula>AND(H$5="Actuals",#REF!="N/A")</formula>
    </cfRule>
  </conditionalFormatting>
  <conditionalFormatting sqref="I5 D5:G6">
    <cfRule type="expression" dxfId="39" priority="71">
      <formula>AND(D$5="Actuals",E$5="Forecast")</formula>
    </cfRule>
  </conditionalFormatting>
  <pageMargins left="0.70866141732283472" right="0.70866141732283472" top="0.74803149606299213" bottom="0.74803149606299213" header="0.31496062992125984" footer="0.31496062992125984"/>
  <pageSetup paperSize="8" scale="51" orientation="landscape" r:id="rId1"/>
  <headerFooter>
    <oddFooter>&amp;C&amp;"Calibri"&amp;11&amp;K000000_x000D_&amp;1#&amp;"Calibri"&amp;12&amp;K008000Internal Use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P78"/>
  <sheetViews>
    <sheetView zoomScale="85" zoomScaleNormal="85" workbookViewId="0"/>
  </sheetViews>
  <sheetFormatPr defaultColWidth="9" defaultRowHeight="12.75"/>
  <cols>
    <col min="1" max="1" width="8.375" style="104" customWidth="1"/>
    <col min="2" max="2" width="71.375" style="104" bestFit="1" customWidth="1"/>
    <col min="3" max="3" width="13.375" style="29" customWidth="1"/>
    <col min="4" max="8" width="11.125" style="104" customWidth="1"/>
    <col min="9" max="9" width="12.875" style="104" customWidth="1"/>
    <col min="10" max="10" width="12.75" style="104" customWidth="1"/>
    <col min="11" max="11" width="5.75" style="104" bestFit="1" customWidth="1"/>
    <col min="12" max="16384" width="9" style="104"/>
  </cols>
  <sheetData>
    <row r="1" spans="1:14" ht="20.25">
      <c r="A1" s="537" t="s">
        <v>522</v>
      </c>
      <c r="B1" s="538"/>
      <c r="C1" s="539"/>
      <c r="D1" s="540"/>
      <c r="E1" s="540"/>
      <c r="F1" s="540"/>
      <c r="G1" s="540"/>
      <c r="H1" s="540"/>
      <c r="I1" s="330"/>
      <c r="J1" s="330"/>
      <c r="K1" s="468"/>
    </row>
    <row r="2" spans="1:14" ht="20.25">
      <c r="A2" s="331" t="str">
        <f>Licensee</f>
        <v>SPT</v>
      </c>
      <c r="B2" s="541"/>
      <c r="C2" s="542"/>
      <c r="D2" s="543"/>
      <c r="E2" s="543"/>
      <c r="F2" s="543"/>
      <c r="G2" s="543"/>
      <c r="H2" s="543"/>
      <c r="I2" s="335"/>
      <c r="J2" s="335"/>
      <c r="K2" s="336"/>
    </row>
    <row r="3" spans="1:14" ht="20.25">
      <c r="A3" s="333">
        <f>Reporting_Year</f>
        <v>2023</v>
      </c>
      <c r="B3" s="334"/>
      <c r="C3" s="544"/>
      <c r="D3" s="545"/>
      <c r="E3" s="545"/>
      <c r="F3" s="545"/>
      <c r="G3" s="545"/>
      <c r="H3" s="545"/>
      <c r="I3" s="338"/>
      <c r="J3" s="338"/>
      <c r="K3" s="339"/>
    </row>
    <row r="4" spans="1:14" s="341" customFormat="1" ht="12.75" customHeight="1">
      <c r="B4" s="492"/>
      <c r="C4" s="29"/>
    </row>
    <row r="5" spans="1:14" s="341" customFormat="1" ht="21.6" customHeight="1">
      <c r="B5" s="492"/>
      <c r="C5" s="29"/>
      <c r="D5" s="340" t="str">
        <f t="shared" ref="D5:I5" si="0">IF(D6&lt;=Reporting_Year,"Actuals","Forecast")</f>
        <v>Actuals</v>
      </c>
      <c r="E5" s="340" t="str">
        <f t="shared" si="0"/>
        <v>Actuals</v>
      </c>
      <c r="F5" s="340" t="str">
        <f t="shared" si="0"/>
        <v>Forecast</v>
      </c>
      <c r="G5" s="340" t="str">
        <f t="shared" si="0"/>
        <v>Forecast</v>
      </c>
      <c r="H5" s="340" t="str">
        <f t="shared" si="0"/>
        <v>Forecast</v>
      </c>
      <c r="I5" s="340" t="str">
        <f t="shared" si="0"/>
        <v>Forecast</v>
      </c>
    </row>
    <row r="6" spans="1:14" s="341" customFormat="1" ht="29.25" customHeight="1">
      <c r="C6" s="29"/>
      <c r="D6" s="469">
        <f>'RFPR cover'!$C$6</f>
        <v>2022</v>
      </c>
      <c r="E6" s="470">
        <f>D6+1</f>
        <v>2023</v>
      </c>
      <c r="F6" s="470">
        <f t="shared" ref="F6:H6" si="1">E6+1</f>
        <v>2024</v>
      </c>
      <c r="G6" s="470">
        <f t="shared" si="1"/>
        <v>2025</v>
      </c>
      <c r="H6" s="470">
        <f t="shared" si="1"/>
        <v>2026</v>
      </c>
      <c r="I6" s="344" t="str">
        <f>"Cumulative to "&amp;'RFPR cover'!$C$9</f>
        <v>Cumulative to 2023</v>
      </c>
      <c r="J6" s="471" t="s">
        <v>380</v>
      </c>
    </row>
    <row r="7" spans="1:14" s="341" customFormat="1">
      <c r="C7" s="29"/>
      <c r="D7" s="345" t="str">
        <f>RIIO_2_start_date-1&amp;"/"&amp;RIGHT(RIIO_2_start_date,2)</f>
        <v>2021/22</v>
      </c>
      <c r="E7" s="345" t="str">
        <f>RIIO_2_start_date&amp;"/"&amp;RIGHT(RIIO_2_start_date+1,2)</f>
        <v>2022/23</v>
      </c>
      <c r="F7" s="345" t="str">
        <f>RIIO_2_start_date+1&amp;"/"&amp;RIGHT(RIIO_2_start_date+2,2)</f>
        <v>2023/24</v>
      </c>
      <c r="G7" s="345" t="str">
        <f>RIIO_2_start_date+2&amp;"/"&amp;RIGHT(RIIO_2_start_date+3,2)</f>
        <v>2024/25</v>
      </c>
      <c r="H7" s="345" t="str">
        <f>RIIO_2_start_date+3&amp;"/"&amp;RIGHT(RIIO_2_start_date+4,2)</f>
        <v>2025/26</v>
      </c>
    </row>
    <row r="8" spans="1:14" s="341" customFormat="1" ht="18">
      <c r="B8" s="546" t="s">
        <v>523</v>
      </c>
      <c r="C8" s="404"/>
      <c r="D8" s="405"/>
      <c r="E8" s="405"/>
      <c r="F8" s="405"/>
      <c r="G8" s="405"/>
      <c r="H8" s="405"/>
      <c r="I8" s="405"/>
      <c r="J8" s="405"/>
      <c r="K8" s="405"/>
    </row>
    <row r="9" spans="1:14" s="341" customFormat="1">
      <c r="N9" s="368"/>
    </row>
    <row r="10" spans="1:14" s="341" customFormat="1"/>
    <row r="11" spans="1:14" s="341" customFormat="1"/>
    <row r="12" spans="1:14" s="341" customFormat="1">
      <c r="A12" s="347" t="s">
        <v>384</v>
      </c>
      <c r="B12" s="494" t="s">
        <v>524</v>
      </c>
      <c r="C12" s="480" t="str">
        <f>Data!$C$9</f>
        <v>£m 18/19</v>
      </c>
      <c r="D12" s="547">
        <v>1</v>
      </c>
      <c r="E12" s="547">
        <v>1</v>
      </c>
      <c r="F12" s="547">
        <v>1</v>
      </c>
      <c r="G12" s="547">
        <v>1</v>
      </c>
      <c r="H12" s="547">
        <v>1</v>
      </c>
      <c r="I12" s="511">
        <f>SUM(D12:INDEX(D12:H12,0,MATCH('RFPR cover'!$C$9,$D$6:$H$6,0)))</f>
        <v>2</v>
      </c>
      <c r="J12" s="512">
        <f>SUM(D12:H12)</f>
        <v>5</v>
      </c>
    </row>
    <row r="13" spans="1:14" s="341" customFormat="1" ht="19.5" customHeight="1">
      <c r="A13" s="347"/>
      <c r="B13" s="548" t="s">
        <v>525</v>
      </c>
    </row>
    <row r="14" spans="1:14" s="341" customFormat="1">
      <c r="A14" s="347" t="s">
        <v>385</v>
      </c>
      <c r="B14" s="549" t="str">
        <f>Data!B125</f>
        <v>Energy not supplied ODI - (SpC 4.2)</v>
      </c>
      <c r="C14" s="480" t="str">
        <f>Data!$C$9</f>
        <v>£m 18/19</v>
      </c>
      <c r="D14" s="550">
        <v>1.3368199208</v>
      </c>
      <c r="E14" s="550">
        <v>1.3382095999999999</v>
      </c>
      <c r="F14" s="550">
        <v>1.148286776</v>
      </c>
      <c r="G14" s="550">
        <v>1.148286776</v>
      </c>
      <c r="H14" s="550">
        <v>1.148286776</v>
      </c>
      <c r="I14" s="511">
        <f>SUM(D14:INDEX(D14:H14,0,MATCH('RFPR cover'!$C$9,$D$6:$H$6,0)))</f>
        <v>2.6750295207999999</v>
      </c>
      <c r="J14" s="512">
        <f t="shared" ref="J14:J20" si="2">SUM(D14:H14)</f>
        <v>6.1198898487999998</v>
      </c>
    </row>
    <row r="15" spans="1:14" s="341" customFormat="1">
      <c r="A15" s="347" t="s">
        <v>386</v>
      </c>
      <c r="B15" s="549" t="str">
        <f>Data!B126</f>
        <v>Insulation And Interruption Gas emissions ODI - (SpC 4.3)</v>
      </c>
      <c r="C15" s="480" t="str">
        <f>Data!$C$9</f>
        <v>£m 18/19</v>
      </c>
      <c r="D15" s="550">
        <v>1.1275046205685915</v>
      </c>
      <c r="E15" s="550">
        <v>1.1859770576820763</v>
      </c>
      <c r="F15" s="550">
        <v>1.3917482332216735</v>
      </c>
      <c r="G15" s="550">
        <v>1.4098515317116482</v>
      </c>
      <c r="H15" s="550">
        <v>1.3392935861298942</v>
      </c>
      <c r="I15" s="511">
        <f>SUM(D15:INDEX(D15:H15,0,MATCH('RFPR cover'!$C$9,$D$6:$H$6,0)))</f>
        <v>2.3134816782506675</v>
      </c>
      <c r="J15" s="512">
        <f t="shared" si="2"/>
        <v>6.4543750293138835</v>
      </c>
    </row>
    <row r="16" spans="1:14" s="341" customFormat="1">
      <c r="A16" s="347" t="s">
        <v>387</v>
      </c>
      <c r="B16" s="549" t="str">
        <f>Data!B127</f>
        <v>Timely Connections ODI - (SpC 4.4)</v>
      </c>
      <c r="C16" s="480" t="str">
        <f>Data!$C$9</f>
        <v>£m 18/19</v>
      </c>
      <c r="D16" s="550">
        <v>0</v>
      </c>
      <c r="E16" s="550">
        <v>-1.5022831050228311E-2</v>
      </c>
      <c r="F16" s="550">
        <v>0</v>
      </c>
      <c r="G16" s="550">
        <v>0</v>
      </c>
      <c r="H16" s="550">
        <v>0</v>
      </c>
      <c r="I16" s="511">
        <f>SUM(D16:INDEX(D16:H16,0,MATCH('RFPR cover'!$C$9,$D$6:$H$6,0)))</f>
        <v>-1.5022831050228311E-2</v>
      </c>
      <c r="J16" s="512">
        <f t="shared" si="2"/>
        <v>-1.5022831050228311E-2</v>
      </c>
    </row>
    <row r="17" spans="1:16" s="341" customFormat="1">
      <c r="A17" s="347" t="s">
        <v>388</v>
      </c>
      <c r="B17" s="549" t="str">
        <f>Data!B128</f>
        <v>Quality of connections satisfaction survey ODI - (SpC 4.5)</v>
      </c>
      <c r="C17" s="480" t="str">
        <f>Data!$C$9</f>
        <v>£m 18/19</v>
      </c>
      <c r="D17" s="550">
        <v>0.38012976860537828</v>
      </c>
      <c r="E17" s="550">
        <v>0.66583333333333328</v>
      </c>
      <c r="F17" s="550">
        <v>1.1894615384615368</v>
      </c>
      <c r="G17" s="550">
        <v>1.4045769230769238</v>
      </c>
      <c r="H17" s="550">
        <v>1.6196923076923082</v>
      </c>
      <c r="I17" s="511">
        <f>SUM(D17:INDEX(D17:H17,0,MATCH('RFPR cover'!$C$9,$D$6:$H$6,0)))</f>
        <v>1.0459631019387117</v>
      </c>
      <c r="J17" s="512">
        <f t="shared" si="2"/>
        <v>5.2596938711694801</v>
      </c>
    </row>
    <row r="18" spans="1:16" s="341" customFormat="1">
      <c r="A18" s="347" t="s">
        <v>389</v>
      </c>
      <c r="B18" s="549" t="str">
        <f>Data!B129</f>
        <v>SO-TO Optimisation ODI - (SpC 4.7)</v>
      </c>
      <c r="C18" s="480" t="str">
        <f>Data!$C$9</f>
        <v>£m 18/19</v>
      </c>
      <c r="D18" s="550">
        <v>0.39840000000000003</v>
      </c>
      <c r="E18" s="550">
        <v>2.09</v>
      </c>
      <c r="F18" s="550">
        <v>0</v>
      </c>
      <c r="G18" s="550">
        <v>0</v>
      </c>
      <c r="H18" s="550">
        <v>0</v>
      </c>
      <c r="I18" s="511">
        <f>SUM(D18:INDEX(D18:H18,0,MATCH('RFPR cover'!$C$9,$D$6:$H$6,0)))</f>
        <v>2.4883999999999999</v>
      </c>
      <c r="J18" s="512">
        <f t="shared" si="2"/>
        <v>2.4883999999999999</v>
      </c>
    </row>
    <row r="19" spans="1:16" s="341" customFormat="1">
      <c r="A19" s="347" t="s">
        <v>390</v>
      </c>
      <c r="B19" s="549" t="str">
        <f>Data!B130</f>
        <v>Environmental scorecard ODI - (SpC 4.6)</v>
      </c>
      <c r="C19" s="480" t="str">
        <f>Data!$C$9</f>
        <v>£m 18/19</v>
      </c>
      <c r="D19" s="550">
        <v>0</v>
      </c>
      <c r="E19" s="550">
        <v>0</v>
      </c>
      <c r="F19" s="550">
        <v>0</v>
      </c>
      <c r="G19" s="550">
        <v>0</v>
      </c>
      <c r="H19" s="550">
        <v>0</v>
      </c>
      <c r="I19" s="511">
        <f>SUM(D19:INDEX(D19:H19,0,MATCH('RFPR cover'!$C$9,$D$6:$H$6,0)))</f>
        <v>0</v>
      </c>
      <c r="J19" s="512">
        <f t="shared" si="2"/>
        <v>0</v>
      </c>
    </row>
    <row r="20" spans="1:16" s="341" customFormat="1">
      <c r="B20" s="494" t="s">
        <v>526</v>
      </c>
      <c r="C20" s="488" t="str">
        <f>Data!$C$9</f>
        <v>£m 18/19</v>
      </c>
      <c r="D20" s="523">
        <f>SUM(D14:D19)</f>
        <v>3.2428543099739695</v>
      </c>
      <c r="E20" s="523">
        <f>SUM(E14:E19)</f>
        <v>5.2649971599651808</v>
      </c>
      <c r="F20" s="523">
        <f>SUM(F14:F19)</f>
        <v>3.7294965476832105</v>
      </c>
      <c r="G20" s="523">
        <f>SUM(G14:G19)</f>
        <v>3.962715230788572</v>
      </c>
      <c r="H20" s="523">
        <f>SUM(H14:H19)</f>
        <v>4.1072726698222031</v>
      </c>
      <c r="I20" s="511">
        <f>SUM(D20:INDEX(D20:H20,0,MATCH('RFPR cover'!$C$9,$D$6:$H$6,0)))</f>
        <v>8.5078514699391512</v>
      </c>
      <c r="J20" s="512">
        <f t="shared" si="2"/>
        <v>20.307335918233136</v>
      </c>
      <c r="L20" s="743"/>
      <c r="M20" s="743"/>
      <c r="N20" s="743"/>
      <c r="O20" s="743"/>
      <c r="P20" s="743"/>
    </row>
    <row r="21" spans="1:16" s="341" customFormat="1">
      <c r="D21" s="744"/>
      <c r="E21" s="744"/>
      <c r="F21" s="744"/>
      <c r="G21" s="744"/>
      <c r="H21" s="744"/>
    </row>
    <row r="22" spans="1:16" s="552" customFormat="1" ht="14.25" customHeight="1">
      <c r="A22" s="551"/>
      <c r="D22" s="745"/>
      <c r="E22" s="745"/>
      <c r="F22" s="745"/>
      <c r="G22" s="745"/>
      <c r="H22" s="745"/>
    </row>
    <row r="23" spans="1:16" s="341" customFormat="1">
      <c r="A23" s="553"/>
      <c r="B23" s="554" t="s">
        <v>527</v>
      </c>
      <c r="C23" s="555"/>
      <c r="D23" s="555"/>
      <c r="E23" s="555"/>
      <c r="F23" s="555"/>
      <c r="G23" s="555"/>
      <c r="H23" s="555"/>
      <c r="I23" s="555"/>
      <c r="J23" s="555"/>
    </row>
    <row r="24" spans="1:16" s="341" customFormat="1">
      <c r="A24" s="556" t="s">
        <v>384</v>
      </c>
      <c r="B24" s="799">
        <v>0</v>
      </c>
      <c r="C24" s="799">
        <v>0</v>
      </c>
      <c r="D24" s="799">
        <v>0</v>
      </c>
      <c r="E24" s="799">
        <v>0</v>
      </c>
      <c r="F24" s="799">
        <v>0</v>
      </c>
      <c r="G24" s="799">
        <v>0</v>
      </c>
      <c r="H24" s="799">
        <v>0</v>
      </c>
      <c r="I24" s="799">
        <v>0</v>
      </c>
      <c r="J24" s="799">
        <v>0</v>
      </c>
    </row>
    <row r="25" spans="1:16" s="341" customFormat="1">
      <c r="A25" s="556" t="s">
        <v>385</v>
      </c>
      <c r="B25" s="799">
        <v>0</v>
      </c>
      <c r="C25" s="799">
        <v>0</v>
      </c>
      <c r="D25" s="799">
        <v>0</v>
      </c>
      <c r="E25" s="799">
        <v>0</v>
      </c>
      <c r="F25" s="799">
        <v>0</v>
      </c>
      <c r="G25" s="799">
        <v>0</v>
      </c>
      <c r="H25" s="799">
        <v>0</v>
      </c>
      <c r="I25" s="799">
        <v>0</v>
      </c>
      <c r="J25" s="799">
        <v>0</v>
      </c>
    </row>
    <row r="26" spans="1:16" s="341" customFormat="1">
      <c r="A26" s="556" t="s">
        <v>386</v>
      </c>
      <c r="B26" s="799">
        <v>0</v>
      </c>
      <c r="C26" s="799">
        <v>0</v>
      </c>
      <c r="D26" s="799">
        <v>0</v>
      </c>
      <c r="E26" s="799">
        <v>0</v>
      </c>
      <c r="F26" s="799">
        <v>0</v>
      </c>
      <c r="G26" s="799">
        <v>0</v>
      </c>
      <c r="H26" s="799">
        <v>0</v>
      </c>
      <c r="I26" s="799">
        <v>0</v>
      </c>
      <c r="J26" s="799">
        <v>0</v>
      </c>
    </row>
    <row r="27" spans="1:16" s="341" customFormat="1">
      <c r="A27" s="556" t="s">
        <v>387</v>
      </c>
      <c r="B27" s="799">
        <v>0</v>
      </c>
      <c r="C27" s="799">
        <v>0</v>
      </c>
      <c r="D27" s="799">
        <v>0</v>
      </c>
      <c r="E27" s="799">
        <v>0</v>
      </c>
      <c r="F27" s="799">
        <v>0</v>
      </c>
      <c r="G27" s="799">
        <v>0</v>
      </c>
      <c r="H27" s="799">
        <v>0</v>
      </c>
      <c r="I27" s="799">
        <v>0</v>
      </c>
      <c r="J27" s="799">
        <v>0</v>
      </c>
    </row>
    <row r="28" spans="1:16" s="341" customFormat="1">
      <c r="A28" s="556" t="s">
        <v>388</v>
      </c>
      <c r="B28" s="799">
        <v>0</v>
      </c>
      <c r="C28" s="799">
        <v>0</v>
      </c>
      <c r="D28" s="799">
        <v>0</v>
      </c>
      <c r="E28" s="799">
        <v>0</v>
      </c>
      <c r="F28" s="799">
        <v>0</v>
      </c>
      <c r="G28" s="799">
        <v>0</v>
      </c>
      <c r="H28" s="799">
        <v>0</v>
      </c>
      <c r="I28" s="799">
        <v>0</v>
      </c>
      <c r="J28" s="799">
        <v>0</v>
      </c>
    </row>
    <row r="29" spans="1:16" s="341" customFormat="1">
      <c r="A29" s="556" t="s">
        <v>389</v>
      </c>
      <c r="B29" s="799">
        <v>0</v>
      </c>
      <c r="C29" s="799">
        <v>0</v>
      </c>
      <c r="D29" s="799">
        <v>0</v>
      </c>
      <c r="E29" s="799">
        <v>0</v>
      </c>
      <c r="F29" s="799">
        <v>0</v>
      </c>
      <c r="G29" s="799">
        <v>0</v>
      </c>
      <c r="H29" s="799">
        <v>0</v>
      </c>
      <c r="I29" s="799">
        <v>0</v>
      </c>
      <c r="J29" s="799">
        <v>0</v>
      </c>
    </row>
    <row r="30" spans="1:16" s="341" customFormat="1">
      <c r="A30" s="556" t="s">
        <v>390</v>
      </c>
      <c r="B30" s="799">
        <v>0</v>
      </c>
      <c r="C30" s="799">
        <v>0</v>
      </c>
      <c r="D30" s="799">
        <v>0</v>
      </c>
      <c r="E30" s="799">
        <v>0</v>
      </c>
      <c r="F30" s="799">
        <v>0</v>
      </c>
      <c r="G30" s="799">
        <v>0</v>
      </c>
      <c r="H30" s="799">
        <v>0</v>
      </c>
      <c r="I30" s="799">
        <v>0</v>
      </c>
      <c r="J30" s="799">
        <v>0</v>
      </c>
    </row>
    <row r="31" spans="1:16" s="341" customFormat="1">
      <c r="A31" s="347"/>
      <c r="C31" s="480"/>
      <c r="D31" s="480"/>
      <c r="E31" s="480"/>
      <c r="F31" s="480"/>
      <c r="G31" s="480"/>
      <c r="H31" s="480"/>
      <c r="I31" s="480"/>
      <c r="J31" s="480"/>
    </row>
    <row r="32" spans="1:16" s="341" customFormat="1" ht="21">
      <c r="B32" s="546" t="s">
        <v>528</v>
      </c>
      <c r="C32" s="404"/>
      <c r="D32" s="405"/>
      <c r="E32" s="405"/>
      <c r="F32" s="405"/>
      <c r="G32" s="405"/>
      <c r="H32" s="405"/>
      <c r="I32" s="405"/>
      <c r="J32" s="405"/>
      <c r="K32" s="405"/>
    </row>
    <row r="33" spans="1:11" s="341" customFormat="1">
      <c r="A33" s="494"/>
      <c r="C33" s="29"/>
    </row>
    <row r="34" spans="1:11">
      <c r="B34" s="557" t="s">
        <v>529</v>
      </c>
    </row>
    <row r="35" spans="1:11">
      <c r="B35" s="494"/>
    </row>
    <row r="36" spans="1:11" s="341" customFormat="1">
      <c r="A36" s="479" t="s">
        <v>391</v>
      </c>
      <c r="B36" s="494" t="s">
        <v>530</v>
      </c>
      <c r="C36" s="40" t="s">
        <v>531</v>
      </c>
      <c r="D36" s="506"/>
      <c r="E36" s="506"/>
      <c r="F36" s="506"/>
      <c r="G36" s="506"/>
      <c r="H36" s="506"/>
    </row>
    <row r="37" spans="1:11" s="341" customFormat="1">
      <c r="B37" s="401" t="s">
        <v>532</v>
      </c>
      <c r="C37" s="480" t="str">
        <f>Data!$C$9</f>
        <v>£m 18/19</v>
      </c>
      <c r="D37" s="409">
        <v>1.1693233467582054</v>
      </c>
      <c r="E37" s="409">
        <v>0.90900222002785036</v>
      </c>
      <c r="F37" s="409">
        <v>3.7977192043874259</v>
      </c>
      <c r="G37" s="409">
        <v>4.4306724051186643</v>
      </c>
      <c r="H37" s="409">
        <v>4.6932828237078548</v>
      </c>
      <c r="I37" s="511">
        <f>SUM(D37:INDEX(D37:H37,0,MATCH('RFPR cover'!$C$9,$D$6:$H$6,0)))</f>
        <v>2.0783255667860558</v>
      </c>
      <c r="J37" s="512">
        <f t="shared" ref="J37" si="3">SUM(D37:H37)</f>
        <v>15</v>
      </c>
      <c r="K37" s="341" t="s">
        <v>533</v>
      </c>
    </row>
    <row r="38" spans="1:11" s="341" customFormat="1">
      <c r="B38" s="401" t="s">
        <v>534</v>
      </c>
      <c r="C38" s="480" t="str">
        <f>Data!$C$9</f>
        <v>£m 18/19</v>
      </c>
      <c r="D38" s="558">
        <v>0</v>
      </c>
      <c r="E38" s="481">
        <v>0</v>
      </c>
      <c r="F38" s="481">
        <v>0</v>
      </c>
      <c r="G38" s="481">
        <v>0</v>
      </c>
      <c r="H38" s="481">
        <v>0</v>
      </c>
      <c r="I38" s="511">
        <f>SUM(D38:INDEX(D38:H38,0,MATCH('RFPR cover'!$C$9,$D$6:$H$6,0)))</f>
        <v>0</v>
      </c>
      <c r="J38" s="512">
        <f t="shared" ref="J38:J41" si="4">SUM(D38:H38)</f>
        <v>0</v>
      </c>
    </row>
    <row r="39" spans="1:11" s="341" customFormat="1">
      <c r="B39" s="401" t="s">
        <v>535</v>
      </c>
      <c r="C39" s="480" t="str">
        <f>Data!$C$9</f>
        <v>£m 18/19</v>
      </c>
      <c r="D39" s="413">
        <v>0.11693233467582054</v>
      </c>
      <c r="E39" s="413">
        <v>9.0900222002785039E-2</v>
      </c>
      <c r="F39" s="413">
        <v>0.37977192043874264</v>
      </c>
      <c r="G39" s="413">
        <v>0.44306724051186647</v>
      </c>
      <c r="H39" s="413">
        <v>0.4693282823707855</v>
      </c>
      <c r="I39" s="511">
        <f>SUM(D39:INDEX(D39:H39,0,MATCH('RFPR cover'!$C$9,$D$6:$H$6,0)))</f>
        <v>0.20783255667860556</v>
      </c>
      <c r="J39" s="512">
        <f t="shared" si="4"/>
        <v>1.5</v>
      </c>
    </row>
    <row r="40" spans="1:11" s="494" customFormat="1">
      <c r="B40" s="341" t="s">
        <v>536</v>
      </c>
      <c r="C40" s="480" t="str">
        <f>Data!$C$9</f>
        <v>£m 18/19</v>
      </c>
      <c r="D40" s="523">
        <f>D37-D38-D39</f>
        <v>1.0523910120823849</v>
      </c>
      <c r="E40" s="566">
        <f t="shared" ref="E40:H40" si="5">E37-E38-E39</f>
        <v>0.81810199802506534</v>
      </c>
      <c r="F40" s="566">
        <f t="shared" si="5"/>
        <v>3.4179472839486831</v>
      </c>
      <c r="G40" s="566">
        <f t="shared" si="5"/>
        <v>3.9876051646067978</v>
      </c>
      <c r="H40" s="566">
        <f t="shared" si="5"/>
        <v>4.2239545413370694</v>
      </c>
      <c r="I40" s="511">
        <f>SUM(D40:INDEX(D40:H40,0,MATCH('RFPR cover'!$C$9,$D$6:$H$6,0)))</f>
        <v>1.8704930101074502</v>
      </c>
      <c r="J40" s="512">
        <f t="shared" si="4"/>
        <v>13.5</v>
      </c>
      <c r="K40" s="341"/>
    </row>
    <row r="41" spans="1:11" s="341" customFormat="1">
      <c r="A41" s="492"/>
      <c r="B41" s="494" t="s">
        <v>537</v>
      </c>
      <c r="C41" s="480" t="str">
        <f>Data!$C$9</f>
        <v>£m 18/19</v>
      </c>
      <c r="D41" s="567">
        <f>D38+D39</f>
        <v>0.11693233467582054</v>
      </c>
      <c r="E41" s="567">
        <f t="shared" ref="E41:H41" si="6">E38+E39</f>
        <v>9.0900222002785039E-2</v>
      </c>
      <c r="F41" s="567">
        <f t="shared" si="6"/>
        <v>0.37977192043874264</v>
      </c>
      <c r="G41" s="567">
        <f t="shared" si="6"/>
        <v>0.44306724051186647</v>
      </c>
      <c r="H41" s="567">
        <f t="shared" si="6"/>
        <v>0.4693282823707855</v>
      </c>
      <c r="I41" s="511">
        <f>SUM(D41:INDEX(D41:H41,0,MATCH('RFPR cover'!$C$9,$D$6:$H$6,0)))</f>
        <v>0.20783255667860556</v>
      </c>
      <c r="J41" s="512">
        <f t="shared" si="4"/>
        <v>1.5</v>
      </c>
    </row>
    <row r="42" spans="1:11" s="341" customFormat="1">
      <c r="A42" s="492"/>
      <c r="B42" s="494"/>
      <c r="C42" s="480"/>
      <c r="D42" s="559"/>
      <c r="E42" s="559"/>
      <c r="F42" s="559"/>
      <c r="G42" s="559"/>
      <c r="H42" s="559"/>
    </row>
    <row r="43" spans="1:11" s="341" customFormat="1">
      <c r="A43" s="479" t="s">
        <v>392</v>
      </c>
      <c r="B43" s="494" t="s">
        <v>538</v>
      </c>
      <c r="C43" s="480" t="s">
        <v>539</v>
      </c>
      <c r="D43" s="559"/>
      <c r="E43" s="559"/>
      <c r="F43" s="559"/>
      <c r="G43" s="559"/>
      <c r="H43" s="559"/>
    </row>
    <row r="44" spans="1:11" s="341" customFormat="1" ht="14.25">
      <c r="A44" s="492"/>
      <c r="B44" s="401" t="s">
        <v>540</v>
      </c>
      <c r="C44" s="480" t="str">
        <f>Data!$C$9</f>
        <v>£m 18/19</v>
      </c>
      <c r="D44" s="409">
        <v>0.19587118795942565</v>
      </c>
      <c r="E44" s="560"/>
      <c r="F44" s="560"/>
      <c r="G44" s="560"/>
      <c r="H44" s="560"/>
      <c r="K44" s="341" t="s">
        <v>533</v>
      </c>
    </row>
    <row r="45" spans="1:11" s="341" customFormat="1" ht="14.25">
      <c r="A45" s="492"/>
      <c r="B45" s="401" t="s">
        <v>534</v>
      </c>
      <c r="C45" s="480" t="str">
        <f>Data!$C$9</f>
        <v>£m 18/19</v>
      </c>
      <c r="D45" s="558">
        <v>0</v>
      </c>
      <c r="E45" s="560"/>
      <c r="F45" s="560"/>
      <c r="G45" s="560"/>
      <c r="H45" s="560"/>
    </row>
    <row r="46" spans="1:11" s="341" customFormat="1" ht="14.25">
      <c r="A46" s="492"/>
      <c r="B46" s="401" t="s">
        <v>535</v>
      </c>
      <c r="C46" s="480" t="str">
        <f>Data!$C$9</f>
        <v>£m 18/19</v>
      </c>
      <c r="D46" s="413">
        <v>1.9587118795942566E-2</v>
      </c>
      <c r="E46" s="560"/>
      <c r="F46" s="560"/>
      <c r="G46" s="560"/>
      <c r="H46" s="560"/>
    </row>
    <row r="47" spans="1:11" s="341" customFormat="1" ht="14.25">
      <c r="A47" s="492"/>
      <c r="B47" s="341" t="s">
        <v>541</v>
      </c>
      <c r="C47" s="480" t="str">
        <f>Data!$C$9</f>
        <v>£m 18/19</v>
      </c>
      <c r="D47" s="523">
        <f>D44-D45-D46</f>
        <v>0.17628406916348308</v>
      </c>
      <c r="E47" s="560"/>
      <c r="F47" s="560"/>
      <c r="G47" s="560"/>
      <c r="H47" s="560"/>
    </row>
    <row r="48" spans="1:11" ht="14.25">
      <c r="A48" s="561"/>
      <c r="B48" s="494" t="s">
        <v>542</v>
      </c>
      <c r="C48" s="480" t="str">
        <f>Data!$C$9</f>
        <v>£m 18/19</v>
      </c>
      <c r="D48" s="566">
        <f>D45+D46</f>
        <v>1.9587118795942566E-2</v>
      </c>
      <c r="E48" s="560"/>
      <c r="F48" s="560"/>
      <c r="G48" s="560"/>
      <c r="H48" s="560"/>
      <c r="K48" s="341"/>
    </row>
    <row r="49" spans="1:11">
      <c r="B49" s="494"/>
      <c r="C49" s="480"/>
      <c r="D49" s="480"/>
      <c r="E49" s="480"/>
      <c r="F49" s="480"/>
      <c r="G49" s="480"/>
      <c r="H49" s="480"/>
      <c r="K49" s="480"/>
    </row>
    <row r="50" spans="1:11">
      <c r="A50" s="479" t="s">
        <v>393</v>
      </c>
      <c r="B50" s="494" t="s">
        <v>543</v>
      </c>
      <c r="C50" s="480" t="s">
        <v>544</v>
      </c>
      <c r="D50" s="559"/>
      <c r="E50" s="559"/>
      <c r="F50" s="559"/>
      <c r="G50" s="559"/>
      <c r="H50" s="559"/>
      <c r="K50" s="341"/>
    </row>
    <row r="51" spans="1:11">
      <c r="A51" s="492"/>
      <c r="B51" s="401" t="s">
        <v>545</v>
      </c>
      <c r="C51" s="480" t="str">
        <f>Data!$C$9</f>
        <v>£m 18/19</v>
      </c>
      <c r="D51" s="409">
        <v>0</v>
      </c>
      <c r="E51" s="409">
        <v>1.8968669222606127</v>
      </c>
      <c r="F51" s="409">
        <v>0.15919141470314868</v>
      </c>
      <c r="G51" s="409">
        <v>0</v>
      </c>
      <c r="H51" s="409">
        <v>0</v>
      </c>
      <c r="I51" s="511">
        <f>SUM(D51:INDEX(D51:H51,0,MATCH('RFPR cover'!$C$9,$D$6:$H$6,0)))</f>
        <v>1.8968669222606127</v>
      </c>
      <c r="J51" s="512">
        <f t="shared" ref="J51" si="7">SUM(D51:H51)</f>
        <v>2.0560583369637615</v>
      </c>
      <c r="K51" s="341" t="s">
        <v>533</v>
      </c>
    </row>
    <row r="52" spans="1:11">
      <c r="A52" s="492"/>
      <c r="B52" s="401" t="s">
        <v>546</v>
      </c>
      <c r="C52" s="480" t="str">
        <f>Data!$C$9</f>
        <v>£m 18/19</v>
      </c>
      <c r="D52" s="558">
        <v>0</v>
      </c>
      <c r="E52" s="481">
        <v>0</v>
      </c>
      <c r="F52" s="481">
        <v>0</v>
      </c>
      <c r="G52" s="481">
        <v>0</v>
      </c>
      <c r="H52" s="481">
        <v>0</v>
      </c>
      <c r="I52" s="511">
        <f>SUM(D52:INDEX(D52:H52,0,MATCH('RFPR cover'!$C$9,$D$6:$H$6,0)))</f>
        <v>0</v>
      </c>
      <c r="J52" s="512">
        <f t="shared" ref="J52:J55" si="8">SUM(D52:H52)</f>
        <v>0</v>
      </c>
    </row>
    <row r="53" spans="1:11">
      <c r="A53" s="492"/>
      <c r="B53" s="401" t="s">
        <v>535</v>
      </c>
      <c r="C53" s="480" t="str">
        <f>Data!$C$9</f>
        <v>£m 18/19</v>
      </c>
      <c r="D53" s="413">
        <v>0</v>
      </c>
      <c r="E53" s="413">
        <v>8.0226957486029093E-2</v>
      </c>
      <c r="F53" s="413">
        <v>7.2397501319164835E-3</v>
      </c>
      <c r="G53" s="413">
        <v>0</v>
      </c>
      <c r="H53" s="413">
        <v>0</v>
      </c>
      <c r="I53" s="511">
        <f>SUM(D53:INDEX(D53:H53,0,MATCH('RFPR cover'!$C$9,$D$6:$H$6,0)))</f>
        <v>8.0226957486029093E-2</v>
      </c>
      <c r="J53" s="512">
        <f t="shared" si="8"/>
        <v>8.7466707617945574E-2</v>
      </c>
    </row>
    <row r="54" spans="1:11">
      <c r="A54" s="492"/>
      <c r="B54" s="341" t="s">
        <v>547</v>
      </c>
      <c r="C54" s="480" t="str">
        <f>Data!$C$9</f>
        <v>£m 18/19</v>
      </c>
      <c r="D54" s="523">
        <f>D51-D52-D53</f>
        <v>0</v>
      </c>
      <c r="E54" s="566">
        <f>E51-E52-E53</f>
        <v>1.8166399647745837</v>
      </c>
      <c r="F54" s="566">
        <f>F51-F52-F53</f>
        <v>0.15195166457123219</v>
      </c>
      <c r="G54" s="566">
        <f>G51-G52-G53</f>
        <v>0</v>
      </c>
      <c r="H54" s="566">
        <f>H51-H52-H53</f>
        <v>0</v>
      </c>
      <c r="I54" s="511">
        <f>SUM(D54:INDEX(D54:H54,0,MATCH('RFPR cover'!$C$9,$D$6:$H$6,0)))</f>
        <v>1.8166399647745837</v>
      </c>
      <c r="J54" s="512">
        <f t="shared" si="8"/>
        <v>1.9685916293458159</v>
      </c>
    </row>
    <row r="55" spans="1:11">
      <c r="A55" s="561"/>
      <c r="B55" s="494" t="s">
        <v>548</v>
      </c>
      <c r="C55" s="480" t="str">
        <f>Data!$C$9</f>
        <v>£m 18/19</v>
      </c>
      <c r="D55" s="566">
        <f>D52+D53</f>
        <v>0</v>
      </c>
      <c r="E55" s="566">
        <f>E52+E53</f>
        <v>8.0226957486029093E-2</v>
      </c>
      <c r="F55" s="566">
        <f>F52+F53</f>
        <v>7.2397501319164835E-3</v>
      </c>
      <c r="G55" s="566">
        <f>G52+G53</f>
        <v>0</v>
      </c>
      <c r="H55" s="566">
        <f>H52+H53</f>
        <v>0</v>
      </c>
      <c r="I55" s="511">
        <f>SUM(D55:INDEX(D55:H55,0,MATCH('RFPR cover'!$C$9,$D$6:$H$6,0)))</f>
        <v>8.0226957486029093E-2</v>
      </c>
      <c r="J55" s="512">
        <f t="shared" si="8"/>
        <v>8.7466707617945574E-2</v>
      </c>
    </row>
    <row r="56" spans="1:11">
      <c r="B56" s="494"/>
      <c r="C56" s="480"/>
      <c r="D56" s="480"/>
      <c r="E56" s="480"/>
      <c r="F56" s="480"/>
      <c r="G56" s="480"/>
      <c r="H56" s="480"/>
      <c r="I56" s="480"/>
    </row>
    <row r="57" spans="1:11">
      <c r="B57" s="494"/>
      <c r="C57" s="480"/>
      <c r="D57" s="480"/>
      <c r="E57" s="480"/>
      <c r="F57" s="480"/>
      <c r="G57" s="480"/>
      <c r="H57" s="480"/>
      <c r="I57" s="480"/>
    </row>
    <row r="58" spans="1:11" s="341" customFormat="1">
      <c r="B58" s="557" t="s">
        <v>549</v>
      </c>
      <c r="C58" s="29"/>
    </row>
    <row r="59" spans="1:11" s="341" customFormat="1" ht="15">
      <c r="B59" s="562" t="s">
        <v>550</v>
      </c>
      <c r="C59" s="563"/>
      <c r="D59" s="562"/>
      <c r="E59" s="562"/>
      <c r="F59" s="562"/>
      <c r="G59" s="562"/>
      <c r="H59" s="562"/>
      <c r="I59" s="562"/>
      <c r="J59" s="562"/>
      <c r="K59" s="562"/>
    </row>
    <row r="60" spans="1:11" s="341" customFormat="1">
      <c r="B60" s="564" t="s">
        <v>551</v>
      </c>
      <c r="C60" s="29"/>
    </row>
    <row r="61" spans="1:11" s="341" customFormat="1" ht="18.95" customHeight="1">
      <c r="A61" s="347"/>
      <c r="B61" s="548" t="s">
        <v>552</v>
      </c>
    </row>
    <row r="62" spans="1:11" s="341" customFormat="1" ht="14.45" customHeight="1">
      <c r="A62" s="347" t="s">
        <v>394</v>
      </c>
      <c r="B62" s="565" t="s">
        <v>829</v>
      </c>
      <c r="C62" s="480" t="str">
        <f>Data!$C$9</f>
        <v>£m 18/19</v>
      </c>
      <c r="D62" s="550">
        <v>0</v>
      </c>
      <c r="E62" s="550">
        <v>0</v>
      </c>
      <c r="F62" s="550">
        <v>0</v>
      </c>
      <c r="G62" s="550">
        <v>0</v>
      </c>
      <c r="H62" s="550">
        <v>0</v>
      </c>
      <c r="I62" s="511">
        <f>SUM(D62:INDEX(D62:H62,0,MATCH('RFPR cover'!$C$9,$D$6:$H$6,0)))</f>
        <v>0</v>
      </c>
      <c r="J62" s="512">
        <f t="shared" ref="J62" si="9">SUM(D62:H62)</f>
        <v>0</v>
      </c>
    </row>
    <row r="63" spans="1:11" s="341" customFormat="1" ht="14.45" customHeight="1">
      <c r="A63" s="347" t="s">
        <v>395</v>
      </c>
      <c r="B63" s="565" t="s">
        <v>829</v>
      </c>
      <c r="C63" s="480" t="str">
        <f>Data!$C$9</f>
        <v>£m 18/19</v>
      </c>
      <c r="D63" s="550">
        <v>0</v>
      </c>
      <c r="E63" s="550">
        <v>0</v>
      </c>
      <c r="F63" s="550">
        <v>0</v>
      </c>
      <c r="G63" s="550">
        <v>0</v>
      </c>
      <c r="H63" s="550">
        <v>0</v>
      </c>
      <c r="I63" s="511">
        <f>SUM(D63:INDEX(D63:H63,0,MATCH('RFPR cover'!$C$9,$D$6:$H$6,0)))</f>
        <v>0</v>
      </c>
      <c r="J63" s="512">
        <f t="shared" ref="J63:J67" si="10">SUM(D63:H63)</f>
        <v>0</v>
      </c>
    </row>
    <row r="64" spans="1:11" s="341" customFormat="1" ht="14.45" customHeight="1">
      <c r="A64" s="347" t="s">
        <v>396</v>
      </c>
      <c r="B64" s="565" t="s">
        <v>829</v>
      </c>
      <c r="C64" s="480" t="str">
        <f>Data!$C$9</f>
        <v>£m 18/19</v>
      </c>
      <c r="D64" s="550">
        <v>0</v>
      </c>
      <c r="E64" s="550">
        <v>0</v>
      </c>
      <c r="F64" s="550">
        <v>0</v>
      </c>
      <c r="G64" s="550">
        <v>0</v>
      </c>
      <c r="H64" s="550">
        <v>0</v>
      </c>
      <c r="I64" s="511">
        <f>SUM(D64:INDEX(D64:H64,0,MATCH('RFPR cover'!$C$9,$D$6:$H$6,0)))</f>
        <v>0</v>
      </c>
      <c r="J64" s="512">
        <f t="shared" si="10"/>
        <v>0</v>
      </c>
    </row>
    <row r="65" spans="1:13" s="341" customFormat="1" ht="14.45" customHeight="1">
      <c r="A65" s="347" t="s">
        <v>397</v>
      </c>
      <c r="B65" s="565" t="s">
        <v>829</v>
      </c>
      <c r="C65" s="480" t="str">
        <f>Data!$C$9</f>
        <v>£m 18/19</v>
      </c>
      <c r="D65" s="550">
        <v>0</v>
      </c>
      <c r="E65" s="550">
        <v>0</v>
      </c>
      <c r="F65" s="550">
        <v>0</v>
      </c>
      <c r="G65" s="550">
        <v>0</v>
      </c>
      <c r="H65" s="550">
        <v>0</v>
      </c>
      <c r="I65" s="511">
        <f>SUM(D65:INDEX(D65:H65,0,MATCH('RFPR cover'!$C$9,$D$6:$H$6,0)))</f>
        <v>0</v>
      </c>
      <c r="J65" s="512">
        <f t="shared" si="10"/>
        <v>0</v>
      </c>
    </row>
    <row r="66" spans="1:13" s="341" customFormat="1" ht="14.45" customHeight="1">
      <c r="A66" s="347" t="s">
        <v>398</v>
      </c>
      <c r="B66" s="565" t="s">
        <v>829</v>
      </c>
      <c r="C66" s="480" t="str">
        <f>Data!$C$9</f>
        <v>£m 18/19</v>
      </c>
      <c r="D66" s="550">
        <v>0</v>
      </c>
      <c r="E66" s="550">
        <v>0</v>
      </c>
      <c r="F66" s="550">
        <v>0</v>
      </c>
      <c r="G66" s="550">
        <v>0</v>
      </c>
      <c r="H66" s="550">
        <v>0</v>
      </c>
      <c r="I66" s="511">
        <f>SUM(D66:INDEX(D66:H66,0,MATCH('RFPR cover'!$C$9,$D$6:$H$6,0)))</f>
        <v>0</v>
      </c>
      <c r="J66" s="512">
        <f t="shared" si="10"/>
        <v>0</v>
      </c>
    </row>
    <row r="67" spans="1:13" s="341" customFormat="1" ht="14.45" customHeight="1">
      <c r="B67" s="494"/>
      <c r="C67" s="488" t="str">
        <f>Data!$C$9</f>
        <v>£m 18/19</v>
      </c>
      <c r="D67" s="523">
        <f>SUM(D62:D66)</f>
        <v>0</v>
      </c>
      <c r="E67" s="523">
        <f>SUM(E62:E66)</f>
        <v>0</v>
      </c>
      <c r="F67" s="523">
        <f>SUM(F62:F66)</f>
        <v>0</v>
      </c>
      <c r="G67" s="523">
        <f>SUM(G62:G66)</f>
        <v>0</v>
      </c>
      <c r="H67" s="523">
        <f>SUM(H62:H66)</f>
        <v>0</v>
      </c>
      <c r="I67" s="511">
        <f>SUM(D67:INDEX(D67:H67,0,MATCH('RFPR cover'!$C$9,$D$6:$H$6,0)))</f>
        <v>0</v>
      </c>
      <c r="J67" s="512">
        <f t="shared" si="10"/>
        <v>0</v>
      </c>
    </row>
    <row r="68" spans="1:13" s="341" customFormat="1" ht="14.45" customHeight="1">
      <c r="B68" s="494"/>
      <c r="C68" s="488"/>
      <c r="D68" s="488"/>
      <c r="E68" s="488"/>
      <c r="F68" s="488"/>
      <c r="G68" s="488"/>
      <c r="H68" s="488"/>
      <c r="I68" s="488"/>
    </row>
    <row r="69" spans="1:13" s="552" customFormat="1" ht="14.25" customHeight="1">
      <c r="A69" s="551"/>
      <c r="M69" s="341"/>
    </row>
    <row r="70" spans="1:13" s="341" customFormat="1">
      <c r="A70" s="553"/>
      <c r="B70" s="554" t="s">
        <v>527</v>
      </c>
      <c r="C70" s="555"/>
      <c r="D70" s="555"/>
      <c r="E70" s="555"/>
      <c r="F70" s="555"/>
      <c r="G70" s="555"/>
      <c r="H70" s="555"/>
      <c r="I70" s="555"/>
      <c r="J70" s="555"/>
    </row>
    <row r="71" spans="1:13" s="341" customFormat="1">
      <c r="A71" s="556" t="s">
        <v>391</v>
      </c>
      <c r="B71" s="554">
        <v>0</v>
      </c>
      <c r="C71" s="555"/>
      <c r="D71" s="555"/>
      <c r="E71" s="555"/>
      <c r="F71" s="555"/>
      <c r="G71" s="555"/>
      <c r="H71" s="555"/>
      <c r="I71" s="555"/>
      <c r="J71" s="555"/>
    </row>
    <row r="72" spans="1:13" s="341" customFormat="1">
      <c r="A72" s="556" t="s">
        <v>392</v>
      </c>
      <c r="B72" s="554">
        <v>0</v>
      </c>
      <c r="C72" s="555"/>
      <c r="D72" s="555"/>
      <c r="E72" s="555"/>
      <c r="F72" s="555"/>
      <c r="G72" s="555"/>
      <c r="H72" s="555"/>
      <c r="I72" s="555"/>
      <c r="J72" s="555"/>
    </row>
    <row r="73" spans="1:13" s="341" customFormat="1">
      <c r="A73" s="556" t="s">
        <v>393</v>
      </c>
      <c r="B73" s="799">
        <v>0</v>
      </c>
      <c r="C73" s="799">
        <v>0</v>
      </c>
      <c r="D73" s="799">
        <v>0</v>
      </c>
      <c r="E73" s="799">
        <v>0</v>
      </c>
      <c r="F73" s="799">
        <v>0</v>
      </c>
      <c r="G73" s="799">
        <v>0</v>
      </c>
      <c r="H73" s="799">
        <v>0</v>
      </c>
      <c r="I73" s="799">
        <v>0</v>
      </c>
      <c r="J73" s="799">
        <v>0</v>
      </c>
    </row>
    <row r="74" spans="1:13" s="341" customFormat="1">
      <c r="A74" s="556" t="s">
        <v>394</v>
      </c>
      <c r="B74" s="799">
        <v>0</v>
      </c>
      <c r="C74" s="799">
        <v>0</v>
      </c>
      <c r="D74" s="799">
        <v>0</v>
      </c>
      <c r="E74" s="799">
        <v>0</v>
      </c>
      <c r="F74" s="799">
        <v>0</v>
      </c>
      <c r="G74" s="799">
        <v>0</v>
      </c>
      <c r="H74" s="799">
        <v>0</v>
      </c>
      <c r="I74" s="799">
        <v>0</v>
      </c>
      <c r="J74" s="799">
        <v>0</v>
      </c>
    </row>
    <row r="75" spans="1:13" s="341" customFormat="1">
      <c r="A75" s="556" t="s">
        <v>395</v>
      </c>
      <c r="B75" s="799">
        <v>0</v>
      </c>
      <c r="C75" s="799">
        <v>0</v>
      </c>
      <c r="D75" s="799">
        <v>0</v>
      </c>
      <c r="E75" s="799">
        <v>0</v>
      </c>
      <c r="F75" s="799">
        <v>0</v>
      </c>
      <c r="G75" s="799">
        <v>0</v>
      </c>
      <c r="H75" s="799">
        <v>0</v>
      </c>
      <c r="I75" s="799">
        <v>0</v>
      </c>
      <c r="J75" s="799">
        <v>0</v>
      </c>
    </row>
    <row r="76" spans="1:13" s="341" customFormat="1">
      <c r="A76" s="556" t="s">
        <v>396</v>
      </c>
      <c r="B76" s="799">
        <v>0</v>
      </c>
      <c r="C76" s="799">
        <v>0</v>
      </c>
      <c r="D76" s="799">
        <v>0</v>
      </c>
      <c r="E76" s="799">
        <v>0</v>
      </c>
      <c r="F76" s="799">
        <v>0</v>
      </c>
      <c r="G76" s="799">
        <v>0</v>
      </c>
      <c r="H76" s="799">
        <v>0</v>
      </c>
      <c r="I76" s="799">
        <v>0</v>
      </c>
      <c r="J76" s="799">
        <v>0</v>
      </c>
    </row>
    <row r="77" spans="1:13" s="341" customFormat="1">
      <c r="A77" s="556" t="s">
        <v>397</v>
      </c>
      <c r="B77" s="414">
        <v>0</v>
      </c>
      <c r="C77" s="414"/>
      <c r="D77" s="414"/>
      <c r="E77" s="414"/>
      <c r="F77" s="414"/>
      <c r="G77" s="414"/>
      <c r="H77" s="414"/>
      <c r="I77" s="414"/>
      <c r="J77" s="414"/>
    </row>
    <row r="78" spans="1:13" s="341" customFormat="1">
      <c r="A78" s="556" t="s">
        <v>398</v>
      </c>
      <c r="B78" s="799">
        <v>0</v>
      </c>
      <c r="C78" s="799">
        <v>0</v>
      </c>
      <c r="D78" s="799">
        <v>0</v>
      </c>
      <c r="E78" s="799">
        <v>0</v>
      </c>
      <c r="F78" s="799">
        <v>0</v>
      </c>
      <c r="G78" s="799">
        <v>0</v>
      </c>
      <c r="H78" s="799">
        <v>0</v>
      </c>
      <c r="I78" s="799">
        <v>0</v>
      </c>
      <c r="J78" s="799">
        <v>0</v>
      </c>
    </row>
  </sheetData>
  <sheetProtection insertRows="0" sort="0" autoFilter="0" pivotTables="0"/>
  <mergeCells count="12">
    <mergeCell ref="B24:J24"/>
    <mergeCell ref="B78:J78"/>
    <mergeCell ref="B73:J73"/>
    <mergeCell ref="B74:J74"/>
    <mergeCell ref="B75:J75"/>
    <mergeCell ref="B76:J76"/>
    <mergeCell ref="B30:J30"/>
    <mergeCell ref="B25:J25"/>
    <mergeCell ref="B26:J26"/>
    <mergeCell ref="B27:J27"/>
    <mergeCell ref="B28:J28"/>
    <mergeCell ref="B29:J29"/>
  </mergeCells>
  <conditionalFormatting sqref="D7:H7">
    <cfRule type="expression" dxfId="38" priority="1">
      <formula>AND(D$5="Actuals",E$5="Forecast")</formula>
    </cfRule>
  </conditionalFormatting>
  <conditionalFormatting sqref="H5:H6">
    <cfRule type="expression" dxfId="37" priority="237">
      <formula>AND(H$5="Actuals",#REF!="Forecast")</formula>
    </cfRule>
  </conditionalFormatting>
  <conditionalFormatting sqref="I5 D5:G6">
    <cfRule type="expression" dxfId="36" priority="33">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&amp;C&amp;"Calibri"&amp;11&amp;K000000_x000D_&amp;1#&amp;"Calibri"&amp;12&amp;K008000Internal Use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AA100"/>
  <sheetViews>
    <sheetView zoomScale="85" zoomScaleNormal="85" workbookViewId="0"/>
  </sheetViews>
  <sheetFormatPr defaultColWidth="0" defaultRowHeight="12.75" zeroHeight="1"/>
  <cols>
    <col min="1" max="1" width="8.375" style="104" customWidth="1"/>
    <col min="2" max="2" width="74.875" style="104" customWidth="1"/>
    <col min="3" max="3" width="14.125" style="104" customWidth="1"/>
    <col min="4" max="8" width="11.125" style="104" customWidth="1"/>
    <col min="9" max="10" width="12.875" style="104" customWidth="1"/>
    <col min="11" max="11" width="5" style="104" customWidth="1"/>
    <col min="12" max="23" width="9.25" style="104" customWidth="1"/>
    <col min="24" max="27" width="9" style="104" hidden="1" customWidth="1"/>
    <col min="28" max="16384" width="9" style="104" hidden="1"/>
  </cols>
  <sheetData>
    <row r="1" spans="1:27" ht="20.25">
      <c r="A1" s="326" t="s">
        <v>255</v>
      </c>
      <c r="B1" s="328"/>
      <c r="C1" s="329"/>
      <c r="D1" s="329"/>
      <c r="E1" s="329"/>
      <c r="F1" s="329"/>
      <c r="G1" s="329"/>
      <c r="H1" s="329"/>
      <c r="I1" s="330"/>
      <c r="J1" s="330"/>
      <c r="K1" s="468"/>
    </row>
    <row r="2" spans="1:27" ht="20.25">
      <c r="A2" s="331" t="str">
        <f>Licensee</f>
        <v>SPT</v>
      </c>
      <c r="B2" s="333"/>
      <c r="C2" s="334"/>
      <c r="D2" s="334"/>
      <c r="E2" s="334"/>
      <c r="F2" s="334"/>
      <c r="G2" s="334"/>
      <c r="H2" s="334"/>
      <c r="I2" s="335"/>
      <c r="J2" s="335"/>
      <c r="K2" s="336"/>
    </row>
    <row r="3" spans="1:27" ht="20.25">
      <c r="A3" s="568">
        <f>Reporting_Year</f>
        <v>2023</v>
      </c>
      <c r="B3" s="569" t="str">
        <f>IF('RFPR cover'!C7=Data!B79,"Not required to be completed for System Operator","")</f>
        <v/>
      </c>
      <c r="C3" s="568"/>
      <c r="D3" s="337"/>
      <c r="E3" s="337"/>
      <c r="F3" s="337"/>
      <c r="G3" s="337"/>
      <c r="H3" s="337"/>
      <c r="I3" s="338"/>
      <c r="J3" s="338"/>
      <c r="K3" s="339"/>
    </row>
    <row r="4" spans="1:27" ht="12.75" customHeight="1">
      <c r="A4" s="570"/>
      <c r="B4" s="570"/>
      <c r="C4" s="570"/>
      <c r="D4" s="570"/>
      <c r="E4" s="570"/>
      <c r="F4" s="570"/>
      <c r="G4" s="570"/>
      <c r="H4" s="570"/>
      <c r="I4" s="571"/>
    </row>
    <row r="5" spans="1:27">
      <c r="A5" s="341"/>
      <c r="B5" s="492"/>
      <c r="C5" s="492"/>
      <c r="D5" s="340" t="str">
        <f t="shared" ref="D5:I5" si="0">IF(D6&lt;=Reporting_Year,"Actuals","Forecast")</f>
        <v>Actuals</v>
      </c>
      <c r="E5" s="340" t="str">
        <f t="shared" si="0"/>
        <v>Actuals</v>
      </c>
      <c r="F5" s="340" t="str">
        <f t="shared" si="0"/>
        <v>Forecast</v>
      </c>
      <c r="G5" s="340" t="str">
        <f t="shared" si="0"/>
        <v>Forecast</v>
      </c>
      <c r="H5" s="340" t="str">
        <f t="shared" si="0"/>
        <v>Forecast</v>
      </c>
      <c r="I5" s="340" t="str">
        <f t="shared" si="0"/>
        <v>Forecast</v>
      </c>
      <c r="J5" s="341"/>
      <c r="K5" s="341"/>
      <c r="L5" s="341"/>
      <c r="M5" s="341"/>
      <c r="N5" s="341"/>
      <c r="O5" s="341"/>
      <c r="P5" s="341"/>
      <c r="Q5" s="341"/>
      <c r="R5" s="341"/>
      <c r="S5" s="341"/>
      <c r="T5" s="341"/>
      <c r="U5" s="341"/>
      <c r="V5" s="341"/>
      <c r="W5" s="341"/>
      <c r="X5" s="341"/>
      <c r="Y5" s="341"/>
      <c r="Z5" s="341"/>
      <c r="AA5" s="341"/>
    </row>
    <row r="6" spans="1:27" ht="25.5">
      <c r="A6" s="341"/>
      <c r="B6" s="341"/>
      <c r="C6" s="341"/>
      <c r="D6" s="469">
        <f>'RFPR cover'!$C$6</f>
        <v>2022</v>
      </c>
      <c r="E6" s="470">
        <f>D6+1</f>
        <v>2023</v>
      </c>
      <c r="F6" s="470">
        <f t="shared" ref="F6:H6" si="1">E6+1</f>
        <v>2024</v>
      </c>
      <c r="G6" s="470">
        <f t="shared" si="1"/>
        <v>2025</v>
      </c>
      <c r="H6" s="572">
        <f t="shared" si="1"/>
        <v>2026</v>
      </c>
      <c r="I6" s="573" t="str">
        <f>"Cumulative to "&amp;'RFPR cover'!$C$9</f>
        <v>Cumulative to 2023</v>
      </c>
      <c r="J6" s="574" t="s">
        <v>380</v>
      </c>
      <c r="K6" s="341"/>
      <c r="L6" s="341"/>
      <c r="M6" s="341"/>
      <c r="N6" s="341"/>
      <c r="O6" s="341"/>
      <c r="P6" s="341"/>
      <c r="Q6" s="341"/>
      <c r="R6" s="341"/>
      <c r="S6" s="341"/>
      <c r="T6" s="341"/>
      <c r="U6" s="341"/>
      <c r="V6" s="341"/>
      <c r="W6" s="341"/>
      <c r="X6" s="341"/>
      <c r="Y6" s="341"/>
      <c r="Z6" s="341"/>
      <c r="AA6" s="341"/>
    </row>
    <row r="7" spans="1:27">
      <c r="A7" s="341"/>
      <c r="B7" s="341"/>
      <c r="C7" s="341"/>
      <c r="D7" s="469" t="str">
        <f>RIIO_2_start_date-1&amp;"/"&amp;RIGHT(RIIO_2_start_date,2)</f>
        <v>2021/22</v>
      </c>
      <c r="E7" s="469" t="str">
        <f>RIIO_2_start_date&amp;"/"&amp;RIGHT(RIIO_2_start_date+1,2)</f>
        <v>2022/23</v>
      </c>
      <c r="F7" s="469" t="str">
        <f>RIIO_2_start_date+1&amp;"/"&amp;RIGHT(RIIO_2_start_date+2,2)</f>
        <v>2023/24</v>
      </c>
      <c r="G7" s="469" t="str">
        <f>RIIO_2_start_date+2&amp;"/"&amp;RIGHT(RIIO_2_start_date+3,2)</f>
        <v>2024/25</v>
      </c>
      <c r="H7" s="575" t="str">
        <f>RIIO_2_start_date+3&amp;"/"&amp;RIGHT(RIIO_2_start_date+4,2)</f>
        <v>2025/26</v>
      </c>
      <c r="I7" s="341"/>
      <c r="J7" s="341"/>
      <c r="K7" s="341"/>
      <c r="L7" s="341"/>
      <c r="M7" s="341"/>
      <c r="N7" s="341"/>
      <c r="O7" s="341"/>
      <c r="P7" s="341"/>
      <c r="Q7" s="341"/>
      <c r="R7" s="341"/>
      <c r="S7" s="341"/>
      <c r="T7" s="341"/>
      <c r="U7" s="341"/>
      <c r="V7" s="341"/>
      <c r="W7" s="341"/>
      <c r="X7" s="341"/>
      <c r="Y7" s="341"/>
      <c r="Z7" s="341"/>
      <c r="AA7" s="341"/>
    </row>
    <row r="8" spans="1:27">
      <c r="A8" s="341"/>
      <c r="B8" s="341"/>
      <c r="C8" s="341"/>
      <c r="D8" s="341"/>
      <c r="E8" s="341"/>
      <c r="F8" s="341"/>
      <c r="G8" s="341"/>
      <c r="H8" s="341"/>
      <c r="I8" s="341"/>
      <c r="J8" s="341"/>
      <c r="K8" s="341"/>
      <c r="L8" s="341"/>
      <c r="M8" s="341"/>
      <c r="N8" s="341"/>
      <c r="O8" s="341"/>
      <c r="P8" s="341"/>
      <c r="Q8" s="341"/>
      <c r="R8" s="341"/>
      <c r="S8" s="341"/>
      <c r="T8" s="341"/>
      <c r="U8" s="341"/>
      <c r="V8" s="341"/>
      <c r="W8" s="341"/>
      <c r="X8" s="341"/>
      <c r="Y8" s="341"/>
      <c r="Z8" s="341"/>
      <c r="AA8" s="341"/>
    </row>
    <row r="9" spans="1:27">
      <c r="B9" s="576" t="s">
        <v>583</v>
      </c>
      <c r="C9" s="29" t="s">
        <v>419</v>
      </c>
      <c r="D9" s="604">
        <v>29.878709830000002</v>
      </c>
      <c r="E9" s="604">
        <v>50.210123081532949</v>
      </c>
      <c r="F9" s="604">
        <v>80.583808977654229</v>
      </c>
      <c r="G9" s="604">
        <v>74.015738354763826</v>
      </c>
      <c r="H9" s="604">
        <v>66.841842342808405</v>
      </c>
      <c r="I9" s="341"/>
      <c r="J9" s="341"/>
    </row>
    <row r="10" spans="1:27">
      <c r="B10" s="441"/>
      <c r="C10" s="29"/>
      <c r="D10" s="39"/>
      <c r="E10" s="39"/>
      <c r="F10" s="39"/>
      <c r="G10" s="39"/>
      <c r="H10" s="39"/>
      <c r="I10" s="341"/>
      <c r="J10" s="341"/>
    </row>
    <row r="11" spans="1:27">
      <c r="B11" s="441" t="s">
        <v>553</v>
      </c>
      <c r="C11" s="577"/>
      <c r="D11" s="578"/>
      <c r="E11" s="578"/>
      <c r="F11" s="578"/>
      <c r="G11" s="578"/>
      <c r="H11" s="578"/>
      <c r="I11" s="341"/>
      <c r="J11" s="341"/>
    </row>
    <row r="12" spans="1:27">
      <c r="B12" s="579" t="s">
        <v>585</v>
      </c>
      <c r="C12" s="29" t="s">
        <v>419</v>
      </c>
      <c r="D12" s="604">
        <v>0</v>
      </c>
      <c r="E12" s="604">
        <v>0</v>
      </c>
      <c r="F12" s="604">
        <v>0</v>
      </c>
      <c r="G12" s="604">
        <v>0</v>
      </c>
      <c r="H12" s="604">
        <v>0</v>
      </c>
      <c r="I12" s="341"/>
      <c r="J12" s="341"/>
    </row>
    <row r="13" spans="1:27">
      <c r="B13" s="579" t="s">
        <v>586</v>
      </c>
      <c r="C13" s="29" t="s">
        <v>419</v>
      </c>
      <c r="D13" s="604">
        <v>0</v>
      </c>
      <c r="E13" s="604">
        <v>0</v>
      </c>
      <c r="F13" s="604">
        <v>0</v>
      </c>
      <c r="G13" s="604">
        <v>0</v>
      </c>
      <c r="H13" s="604">
        <v>0</v>
      </c>
      <c r="I13" s="341"/>
      <c r="J13" s="341"/>
    </row>
    <row r="14" spans="1:27">
      <c r="B14" s="579" t="s">
        <v>587</v>
      </c>
      <c r="C14" s="29" t="s">
        <v>419</v>
      </c>
      <c r="D14" s="604">
        <v>0</v>
      </c>
      <c r="E14" s="604">
        <v>0</v>
      </c>
      <c r="F14" s="604">
        <v>0</v>
      </c>
      <c r="G14" s="604">
        <v>0</v>
      </c>
      <c r="H14" s="604">
        <v>0</v>
      </c>
      <c r="I14" s="341"/>
      <c r="J14" s="341"/>
    </row>
    <row r="15" spans="1:27">
      <c r="B15" s="579" t="s">
        <v>588</v>
      </c>
      <c r="C15" s="29" t="s">
        <v>419</v>
      </c>
      <c r="D15" s="604">
        <v>0</v>
      </c>
      <c r="E15" s="604">
        <v>0</v>
      </c>
      <c r="F15" s="604">
        <v>0</v>
      </c>
      <c r="G15" s="604">
        <v>0</v>
      </c>
      <c r="H15" s="604">
        <v>0</v>
      </c>
      <c r="I15" s="341"/>
      <c r="J15" s="341"/>
    </row>
    <row r="16" spans="1:27">
      <c r="B16" s="579" t="s">
        <v>589</v>
      </c>
      <c r="C16" s="29" t="s">
        <v>419</v>
      </c>
      <c r="D16" s="604">
        <v>0</v>
      </c>
      <c r="E16" s="604">
        <v>0</v>
      </c>
      <c r="F16" s="604">
        <v>0</v>
      </c>
      <c r="G16" s="604">
        <v>0</v>
      </c>
      <c r="H16" s="604">
        <v>0</v>
      </c>
      <c r="I16" s="341"/>
      <c r="J16" s="341"/>
    </row>
    <row r="17" spans="2:9">
      <c r="B17" s="579" t="s">
        <v>590</v>
      </c>
      <c r="C17" s="29" t="s">
        <v>419</v>
      </c>
      <c r="D17" s="604">
        <v>0</v>
      </c>
      <c r="E17" s="604">
        <v>0</v>
      </c>
      <c r="F17" s="604">
        <v>0</v>
      </c>
      <c r="G17" s="604">
        <v>0</v>
      </c>
      <c r="H17" s="604">
        <v>0</v>
      </c>
      <c r="I17" s="341"/>
    </row>
    <row r="18" spans="2:9">
      <c r="B18" s="579" t="s">
        <v>591</v>
      </c>
      <c r="C18" s="29" t="s">
        <v>419</v>
      </c>
      <c r="D18" s="604">
        <v>0</v>
      </c>
      <c r="E18" s="604">
        <v>0</v>
      </c>
      <c r="F18" s="604">
        <v>0</v>
      </c>
      <c r="G18" s="604">
        <v>0</v>
      </c>
      <c r="H18" s="604">
        <v>0</v>
      </c>
      <c r="I18" s="341"/>
    </row>
    <row r="19" spans="2:9" ht="12.75" customHeight="1">
      <c r="B19" s="579" t="s">
        <v>592</v>
      </c>
      <c r="C19" s="29" t="s">
        <v>419</v>
      </c>
      <c r="D19" s="604">
        <v>-0.55274999999999996</v>
      </c>
      <c r="E19" s="604">
        <v>-0.55274999999999996</v>
      </c>
      <c r="F19" s="604">
        <v>-0.55274999999999996</v>
      </c>
      <c r="G19" s="604">
        <v>-0.55274999999999996</v>
      </c>
      <c r="H19" s="604">
        <v>0</v>
      </c>
      <c r="I19" s="341"/>
    </row>
    <row r="20" spans="2:9">
      <c r="B20" s="579" t="s">
        <v>823</v>
      </c>
      <c r="C20" s="29" t="s">
        <v>419</v>
      </c>
      <c r="D20" s="604">
        <v>-0.3</v>
      </c>
      <c r="E20" s="604">
        <v>-0.3</v>
      </c>
      <c r="F20" s="604">
        <v>0</v>
      </c>
      <c r="G20" s="604">
        <v>0</v>
      </c>
      <c r="H20" s="604">
        <v>0</v>
      </c>
      <c r="I20" s="341"/>
    </row>
    <row r="21" spans="2:9">
      <c r="B21" s="579" t="s">
        <v>824</v>
      </c>
      <c r="C21" s="29" t="s">
        <v>419</v>
      </c>
      <c r="D21" s="604">
        <v>0</v>
      </c>
      <c r="E21" s="604">
        <v>0</v>
      </c>
      <c r="F21" s="604">
        <v>0</v>
      </c>
      <c r="G21" s="604">
        <v>0</v>
      </c>
      <c r="H21" s="604">
        <v>0</v>
      </c>
      <c r="I21" s="341"/>
    </row>
    <row r="22" spans="2:9">
      <c r="B22" s="579" t="s">
        <v>824</v>
      </c>
      <c r="C22" s="29" t="s">
        <v>419</v>
      </c>
      <c r="D22" s="604">
        <v>0</v>
      </c>
      <c r="E22" s="604">
        <v>0</v>
      </c>
      <c r="F22" s="604">
        <v>0</v>
      </c>
      <c r="G22" s="604">
        <v>0</v>
      </c>
      <c r="H22" s="604">
        <v>0</v>
      </c>
      <c r="I22" s="341"/>
    </row>
    <row r="23" spans="2:9">
      <c r="B23" s="579" t="s">
        <v>824</v>
      </c>
      <c r="C23" s="29" t="s">
        <v>419</v>
      </c>
      <c r="D23" s="604">
        <v>0</v>
      </c>
      <c r="E23" s="604">
        <v>0</v>
      </c>
      <c r="F23" s="604">
        <v>0</v>
      </c>
      <c r="G23" s="604">
        <v>0</v>
      </c>
      <c r="H23" s="604">
        <v>0</v>
      </c>
      <c r="I23" s="341"/>
    </row>
    <row r="24" spans="2:9">
      <c r="B24" s="579" t="s">
        <v>824</v>
      </c>
      <c r="C24" s="29" t="s">
        <v>419</v>
      </c>
      <c r="D24" s="604">
        <v>0</v>
      </c>
      <c r="E24" s="604">
        <v>0</v>
      </c>
      <c r="F24" s="604">
        <v>0</v>
      </c>
      <c r="G24" s="604">
        <v>0</v>
      </c>
      <c r="H24" s="604">
        <v>0</v>
      </c>
      <c r="I24" s="341"/>
    </row>
    <row r="25" spans="2:9">
      <c r="B25" s="579" t="s">
        <v>824</v>
      </c>
      <c r="C25" s="29" t="s">
        <v>419</v>
      </c>
      <c r="D25" s="604">
        <v>0</v>
      </c>
      <c r="E25" s="604">
        <v>0</v>
      </c>
      <c r="F25" s="604">
        <v>0</v>
      </c>
      <c r="G25" s="604">
        <v>0</v>
      </c>
      <c r="H25" s="604">
        <v>0</v>
      </c>
      <c r="I25" s="341"/>
    </row>
    <row r="26" spans="2:9">
      <c r="B26" s="579" t="s">
        <v>824</v>
      </c>
      <c r="C26" s="29" t="s">
        <v>419</v>
      </c>
      <c r="D26" s="604">
        <v>0</v>
      </c>
      <c r="E26" s="604">
        <v>0</v>
      </c>
      <c r="F26" s="604">
        <v>0</v>
      </c>
      <c r="G26" s="604">
        <v>0</v>
      </c>
      <c r="H26" s="604">
        <v>0</v>
      </c>
      <c r="I26" s="341"/>
    </row>
    <row r="27" spans="2:9">
      <c r="B27" s="579" t="s">
        <v>824</v>
      </c>
      <c r="C27" s="29" t="s">
        <v>419</v>
      </c>
      <c r="D27" s="604">
        <v>0</v>
      </c>
      <c r="E27" s="604">
        <v>0</v>
      </c>
      <c r="F27" s="604">
        <v>0</v>
      </c>
      <c r="G27" s="604">
        <v>0</v>
      </c>
      <c r="H27" s="604">
        <v>0</v>
      </c>
      <c r="I27" s="341"/>
    </row>
    <row r="28" spans="2:9">
      <c r="B28" s="579" t="s">
        <v>824</v>
      </c>
      <c r="C28" s="29" t="s">
        <v>419</v>
      </c>
      <c r="D28" s="604">
        <v>0</v>
      </c>
      <c r="E28" s="604">
        <v>0</v>
      </c>
      <c r="F28" s="604">
        <v>0</v>
      </c>
      <c r="G28" s="604">
        <v>0</v>
      </c>
      <c r="H28" s="604">
        <v>0</v>
      </c>
      <c r="I28" s="341"/>
    </row>
    <row r="29" spans="2:9">
      <c r="B29" s="580" t="s">
        <v>456</v>
      </c>
      <c r="C29" s="29" t="s">
        <v>419</v>
      </c>
      <c r="D29" s="26">
        <f>SUM(D9,D12:D28)</f>
        <v>29.025959830000001</v>
      </c>
      <c r="E29" s="27">
        <f t="shared" ref="E29:H29" si="2">SUM(E9,E12:E28)</f>
        <v>49.357373081532948</v>
      </c>
      <c r="F29" s="27">
        <f t="shared" si="2"/>
        <v>80.031058977654226</v>
      </c>
      <c r="G29" s="27">
        <f t="shared" si="2"/>
        <v>73.462988354763823</v>
      </c>
      <c r="H29" s="27">
        <f t="shared" si="2"/>
        <v>66.841842342808405</v>
      </c>
      <c r="I29" s="341"/>
    </row>
    <row r="30" spans="2:9" ht="14.25">
      <c r="B30" s="581" t="s">
        <v>554</v>
      </c>
      <c r="C30" s="29" t="s">
        <v>419</v>
      </c>
      <c r="D30" s="560"/>
      <c r="E30" s="560"/>
      <c r="F30" s="582">
        <v>10.802646029987775</v>
      </c>
      <c r="G30" s="582">
        <v>26.198783622430241</v>
      </c>
      <c r="H30" s="582">
        <v>31.627411481798919</v>
      </c>
      <c r="I30" s="341"/>
    </row>
    <row r="31" spans="2:9">
      <c r="B31" s="580" t="s">
        <v>555</v>
      </c>
      <c r="C31" s="29" t="s">
        <v>419</v>
      </c>
      <c r="D31" s="26">
        <f>SUM(D29:D30)</f>
        <v>29.025959830000001</v>
      </c>
      <c r="E31" s="27">
        <f t="shared" ref="E31:H31" si="3">SUM(E29:E30)</f>
        <v>49.357373081532948</v>
      </c>
      <c r="F31" s="27">
        <f t="shared" si="3"/>
        <v>90.833705007641996</v>
      </c>
      <c r="G31" s="27">
        <f t="shared" si="3"/>
        <v>99.661771977194064</v>
      </c>
      <c r="H31" s="27">
        <f t="shared" si="3"/>
        <v>98.469253824607321</v>
      </c>
      <c r="I31" s="341"/>
    </row>
    <row r="32" spans="2:9">
      <c r="B32" s="80" t="s">
        <v>556</v>
      </c>
      <c r="C32" s="29" t="s">
        <v>419</v>
      </c>
      <c r="D32" s="582">
        <v>7.2847792499999979</v>
      </c>
      <c r="E32" s="582">
        <v>7</v>
      </c>
      <c r="F32" s="582">
        <v>7</v>
      </c>
      <c r="G32" s="582">
        <v>7</v>
      </c>
      <c r="H32" s="582">
        <v>7</v>
      </c>
      <c r="I32" s="341"/>
    </row>
    <row r="33" spans="2:11">
      <c r="B33" s="80" t="s">
        <v>557</v>
      </c>
      <c r="C33" s="29" t="s">
        <v>419</v>
      </c>
      <c r="D33" s="582">
        <v>21.751844060000003</v>
      </c>
      <c r="E33" s="582">
        <v>42.357373081532948</v>
      </c>
      <c r="F33" s="582">
        <v>83.833705007641996</v>
      </c>
      <c r="G33" s="582">
        <v>92.661771977194064</v>
      </c>
      <c r="H33" s="582">
        <v>91.469253824607321</v>
      </c>
      <c r="I33" s="341"/>
    </row>
    <row r="34" spans="2:11">
      <c r="B34" s="80"/>
      <c r="D34" s="605" t="str">
        <f>IF(ABS(D31-SUM(D32:D33))&lt;Data!$F$7,"OK","ERROR")</f>
        <v>OK</v>
      </c>
      <c r="E34" s="606" t="str">
        <f>IF(ABS(E31-SUM(E32:E33))&lt;Data!$F$7,"OK","ERROR")</f>
        <v>OK</v>
      </c>
      <c r="F34" s="606" t="str">
        <f>IF(ABS(F31-SUM(F32:F33))&lt;Data!$F$7,"OK","ERROR")</f>
        <v>OK</v>
      </c>
      <c r="G34" s="606" t="str">
        <f>IF(ABS(G31-SUM(G32:G33))&lt;Data!$F$7,"OK","ERROR")</f>
        <v>OK</v>
      </c>
      <c r="H34" s="606" t="str">
        <f>IF(ABS(H31-SUM(H32:H33))&lt;Data!$F$7,"OK","ERROR")</f>
        <v>OK</v>
      </c>
      <c r="I34" s="341"/>
    </row>
    <row r="35" spans="2:11">
      <c r="D35" s="583"/>
      <c r="E35" s="583"/>
      <c r="F35" s="583"/>
      <c r="G35" s="583"/>
      <c r="H35" s="583"/>
      <c r="I35" s="341"/>
    </row>
    <row r="36" spans="2:11">
      <c r="B36" s="80" t="s">
        <v>558</v>
      </c>
      <c r="C36" s="29" t="s">
        <v>419</v>
      </c>
      <c r="D36" s="582">
        <v>0</v>
      </c>
      <c r="E36" s="582">
        <v>0</v>
      </c>
      <c r="F36" s="582">
        <v>0</v>
      </c>
      <c r="G36" s="582">
        <v>0</v>
      </c>
      <c r="H36" s="582">
        <v>0</v>
      </c>
      <c r="I36" s="341"/>
    </row>
    <row r="37" spans="2:11">
      <c r="D37" s="583"/>
      <c r="E37" s="583"/>
      <c r="F37" s="583"/>
      <c r="G37" s="583"/>
      <c r="H37" s="583"/>
      <c r="I37" s="341"/>
    </row>
    <row r="38" spans="2:11">
      <c r="B38" s="80" t="s">
        <v>559</v>
      </c>
      <c r="C38" s="29" t="s">
        <v>419</v>
      </c>
      <c r="D38" s="604">
        <v>64.401596960818154</v>
      </c>
      <c r="E38" s="604">
        <v>144.2202641781796</v>
      </c>
      <c r="F38" s="604">
        <v>103.48724876585914</v>
      </c>
      <c r="G38" s="604">
        <v>15.27411107843022</v>
      </c>
      <c r="H38" s="604">
        <v>5.7719964969113162</v>
      </c>
      <c r="I38" s="341"/>
      <c r="K38" s="348"/>
    </row>
    <row r="39" spans="2:11">
      <c r="B39" s="80"/>
      <c r="C39" s="29"/>
      <c r="D39" s="584"/>
      <c r="E39" s="584"/>
      <c r="F39" s="584"/>
      <c r="G39" s="584"/>
      <c r="H39" s="584"/>
      <c r="I39" s="341"/>
      <c r="K39" s="348"/>
    </row>
    <row r="40" spans="2:11">
      <c r="B40" s="80" t="s">
        <v>560</v>
      </c>
      <c r="C40" s="29" t="s">
        <v>419</v>
      </c>
      <c r="D40" s="21">
        <f>D31-D38</f>
        <v>-35.375637130818149</v>
      </c>
      <c r="E40" s="21">
        <f t="shared" ref="E40:H40" si="4">E31-E38</f>
        <v>-94.862891096646649</v>
      </c>
      <c r="F40" s="21">
        <f t="shared" si="4"/>
        <v>-12.65354375821714</v>
      </c>
      <c r="G40" s="21">
        <f t="shared" si="4"/>
        <v>84.387660898763841</v>
      </c>
      <c r="H40" s="21">
        <f t="shared" si="4"/>
        <v>92.697257327696008</v>
      </c>
    </row>
    <row r="41" spans="2:11">
      <c r="B41" s="80"/>
      <c r="C41" s="29"/>
      <c r="D41" s="29"/>
      <c r="E41" s="29"/>
      <c r="F41" s="29"/>
      <c r="G41" s="29"/>
      <c r="H41" s="29"/>
      <c r="I41" s="29"/>
      <c r="K41" s="348"/>
    </row>
    <row r="42" spans="2:11">
      <c r="B42" s="585" t="s">
        <v>561</v>
      </c>
      <c r="C42" s="29" t="s">
        <v>562</v>
      </c>
      <c r="D42" s="607">
        <f t="shared" ref="D42:H42" si="5">INDEX(real_to_nominal_CF,MATCH(D$6,calendar_year,0))</f>
        <v>1.0847835302284383</v>
      </c>
      <c r="E42" s="607">
        <f t="shared" si="5"/>
        <v>1.1799638149272795</v>
      </c>
      <c r="F42" s="607">
        <f t="shared" si="5"/>
        <v>1.243136825996721</v>
      </c>
      <c r="G42" s="607">
        <f t="shared" si="5"/>
        <v>1.2518012818164204</v>
      </c>
      <c r="H42" s="607">
        <f t="shared" si="5"/>
        <v>1.2549423724669737</v>
      </c>
      <c r="I42" s="29"/>
      <c r="K42" s="348"/>
    </row>
    <row r="43" spans="2:11">
      <c r="I43" s="480"/>
      <c r="J43" s="480"/>
      <c r="K43" s="480"/>
    </row>
    <row r="44" spans="2:11">
      <c r="B44" s="79" t="s">
        <v>560</v>
      </c>
      <c r="C44" s="488" t="str">
        <f>Data!$C$9</f>
        <v>£m 18/19</v>
      </c>
      <c r="D44" s="26">
        <f>D40/D42</f>
        <v>-32.610780072747417</v>
      </c>
      <c r="E44" s="27">
        <f t="shared" ref="E44:H44" si="6">E40/E42</f>
        <v>-80.39474592065605</v>
      </c>
      <c r="F44" s="27">
        <f t="shared" si="6"/>
        <v>-10.178721676973726</v>
      </c>
      <c r="G44" s="27">
        <f t="shared" si="6"/>
        <v>67.412984891909943</v>
      </c>
      <c r="H44" s="27">
        <f t="shared" si="6"/>
        <v>73.865748229913663</v>
      </c>
      <c r="I44" s="608">
        <f>SUM(D44:INDEX(D44:H44,0,MATCH('RFPR cover'!$C$9,$D$6:$H$6,0)))</f>
        <v>-113.00552599340347</v>
      </c>
      <c r="J44" s="609">
        <f>SUM(D44:H44)</f>
        <v>18.094485451446417</v>
      </c>
    </row>
    <row r="45" spans="2:11">
      <c r="B45" s="80"/>
      <c r="C45" s="480"/>
      <c r="D45" s="586"/>
      <c r="E45" s="586"/>
      <c r="F45" s="586"/>
      <c r="G45" s="586"/>
      <c r="H45" s="586"/>
      <c r="I45" s="587"/>
      <c r="J45" s="587"/>
    </row>
    <row r="46" spans="2:11">
      <c r="B46" s="79" t="s">
        <v>563</v>
      </c>
      <c r="C46" s="29"/>
      <c r="D46" s="586"/>
      <c r="E46" s="586"/>
      <c r="F46" s="586"/>
      <c r="G46" s="586"/>
      <c r="H46" s="586"/>
      <c r="I46" s="587"/>
      <c r="J46" s="587"/>
    </row>
    <row r="47" spans="2:11">
      <c r="B47" s="579" t="s">
        <v>593</v>
      </c>
      <c r="C47" s="29" t="s">
        <v>419</v>
      </c>
      <c r="D47" s="91">
        <v>0</v>
      </c>
      <c r="E47" s="91">
        <v>0</v>
      </c>
      <c r="F47" s="91">
        <v>0</v>
      </c>
      <c r="G47" s="91">
        <v>0</v>
      </c>
      <c r="H47" s="91">
        <v>0</v>
      </c>
      <c r="I47" s="608">
        <f>SUM(D47:INDEX(D47:H47,0,MATCH('RFPR cover'!$C$9,$D$6:$H$6,0)))</f>
        <v>0</v>
      </c>
      <c r="J47" s="608">
        <f t="shared" ref="J47:J54" si="7">SUM(D47:H47)</f>
        <v>0</v>
      </c>
    </row>
    <row r="48" spans="2:11" ht="14.25">
      <c r="B48" s="579" t="s">
        <v>564</v>
      </c>
      <c r="C48" s="29" t="s">
        <v>419</v>
      </c>
      <c r="D48" s="560"/>
      <c r="E48" s="582">
        <v>0</v>
      </c>
      <c r="F48" s="582">
        <v>0</v>
      </c>
      <c r="G48" s="582">
        <v>0</v>
      </c>
      <c r="H48" s="582">
        <v>0</v>
      </c>
      <c r="I48" s="608">
        <f>SUM(D48:INDEX(D48:H48,0,MATCH('RFPR cover'!$C$9,$D$6:$H$6,0)))</f>
        <v>0</v>
      </c>
      <c r="J48" s="608">
        <f t="shared" si="7"/>
        <v>0</v>
      </c>
    </row>
    <row r="49" spans="1:11">
      <c r="B49" s="579" t="s">
        <v>594</v>
      </c>
      <c r="C49" s="29" t="s">
        <v>419</v>
      </c>
      <c r="D49" s="91">
        <v>0</v>
      </c>
      <c r="E49" s="91">
        <v>0</v>
      </c>
      <c r="F49" s="91">
        <v>0</v>
      </c>
      <c r="G49" s="91">
        <v>0</v>
      </c>
      <c r="H49" s="91">
        <v>0</v>
      </c>
      <c r="I49" s="608">
        <f>SUM(D49:INDEX(D49:H49,0,MATCH('RFPR cover'!$C$9,$D$6:$H$6,0)))</f>
        <v>0</v>
      </c>
      <c r="J49" s="608">
        <f t="shared" si="7"/>
        <v>0</v>
      </c>
    </row>
    <row r="50" spans="1:11">
      <c r="B50" s="579" t="s">
        <v>595</v>
      </c>
      <c r="C50" s="29" t="s">
        <v>419</v>
      </c>
      <c r="D50" s="91">
        <v>0</v>
      </c>
      <c r="E50" s="91">
        <v>0</v>
      </c>
      <c r="F50" s="91">
        <v>0</v>
      </c>
      <c r="G50" s="91">
        <v>0</v>
      </c>
      <c r="H50" s="91">
        <v>0</v>
      </c>
      <c r="I50" s="608">
        <f>SUM(D50:INDEX(D50:H50,0,MATCH('RFPR cover'!$C$9,$D$6:$H$6,0)))</f>
        <v>0</v>
      </c>
      <c r="J50" s="608">
        <f t="shared" si="7"/>
        <v>0</v>
      </c>
    </row>
    <row r="51" spans="1:11">
      <c r="B51" s="579" t="s">
        <v>824</v>
      </c>
      <c r="C51" s="29" t="s">
        <v>419</v>
      </c>
      <c r="D51" s="91">
        <v>0</v>
      </c>
      <c r="E51" s="91">
        <v>0</v>
      </c>
      <c r="F51" s="91">
        <v>0</v>
      </c>
      <c r="G51" s="91">
        <v>0</v>
      </c>
      <c r="H51" s="91">
        <v>0</v>
      </c>
      <c r="I51" s="608">
        <f>SUM(D51:INDEX(D51:H51,0,MATCH('RFPR cover'!$C$9,$D$6:$H$6,0)))</f>
        <v>0</v>
      </c>
      <c r="J51" s="608">
        <f t="shared" si="7"/>
        <v>0</v>
      </c>
    </row>
    <row r="52" spans="1:11">
      <c r="B52" s="579" t="s">
        <v>824</v>
      </c>
      <c r="C52" s="29" t="s">
        <v>419</v>
      </c>
      <c r="D52" s="91">
        <v>0</v>
      </c>
      <c r="E52" s="91">
        <v>0</v>
      </c>
      <c r="F52" s="91">
        <v>0</v>
      </c>
      <c r="G52" s="91">
        <v>0</v>
      </c>
      <c r="H52" s="91">
        <v>0</v>
      </c>
      <c r="I52" s="608">
        <f>SUM(D52:INDEX(D52:H52,0,MATCH('RFPR cover'!$C$9,$D$6:$H$6,0)))</f>
        <v>0</v>
      </c>
      <c r="J52" s="608">
        <f t="shared" si="7"/>
        <v>0</v>
      </c>
    </row>
    <row r="53" spans="1:11">
      <c r="B53" s="579" t="s">
        <v>824</v>
      </c>
      <c r="C53" s="29" t="s">
        <v>419</v>
      </c>
      <c r="D53" s="91">
        <v>0</v>
      </c>
      <c r="E53" s="91">
        <v>0</v>
      </c>
      <c r="F53" s="91">
        <v>0</v>
      </c>
      <c r="G53" s="91">
        <v>0</v>
      </c>
      <c r="H53" s="91">
        <v>0</v>
      </c>
      <c r="I53" s="608">
        <f>SUM(D53:INDEX(D53:H53,0,MATCH('RFPR cover'!$C$9,$D$6:$H$6,0)))</f>
        <v>0</v>
      </c>
      <c r="J53" s="608">
        <f t="shared" si="7"/>
        <v>0</v>
      </c>
    </row>
    <row r="54" spans="1:11">
      <c r="B54" s="579" t="s">
        <v>824</v>
      </c>
      <c r="C54" s="29" t="s">
        <v>419</v>
      </c>
      <c r="D54" s="91">
        <v>0</v>
      </c>
      <c r="E54" s="91">
        <v>0</v>
      </c>
      <c r="F54" s="91">
        <v>0</v>
      </c>
      <c r="G54" s="91">
        <v>0</v>
      </c>
      <c r="H54" s="91">
        <v>0</v>
      </c>
      <c r="I54" s="608">
        <f>SUM(D54:INDEX(D54:H54,0,MATCH('RFPR cover'!$C$9,$D$6:$H$6,0)))</f>
        <v>0</v>
      </c>
      <c r="J54" s="608">
        <f t="shared" si="7"/>
        <v>0</v>
      </c>
    </row>
    <row r="55" spans="1:11">
      <c r="A55" s="588"/>
      <c r="B55" s="589"/>
      <c r="C55" s="90"/>
      <c r="D55" s="590"/>
      <c r="E55" s="590"/>
      <c r="F55" s="590"/>
      <c r="G55" s="590"/>
      <c r="H55" s="590"/>
      <c r="I55" s="591"/>
      <c r="J55" s="591"/>
      <c r="K55" s="588"/>
    </row>
    <row r="56" spans="1:11">
      <c r="B56" s="592" t="s">
        <v>565</v>
      </c>
      <c r="C56" s="40" t="s">
        <v>419</v>
      </c>
      <c r="D56" s="26">
        <f>SUM(D47:D54)</f>
        <v>0</v>
      </c>
      <c r="E56" s="26">
        <f t="shared" ref="E56:H56" si="8">SUM(E47:E54)</f>
        <v>0</v>
      </c>
      <c r="F56" s="26">
        <f t="shared" si="8"/>
        <v>0</v>
      </c>
      <c r="G56" s="26">
        <f t="shared" si="8"/>
        <v>0</v>
      </c>
      <c r="H56" s="26">
        <f t="shared" si="8"/>
        <v>0</v>
      </c>
      <c r="I56" s="608">
        <f>SUM(D56:INDEX(D56:H56,0,MATCH('RFPR cover'!$C$9,$D$6:$H$6,0)))</f>
        <v>0</v>
      </c>
      <c r="J56" s="609">
        <f>SUM(D56:H56)</f>
        <v>0</v>
      </c>
    </row>
    <row r="57" spans="1:11">
      <c r="B57" s="592" t="s">
        <v>565</v>
      </c>
      <c r="C57" s="488" t="str">
        <f>Data!$C$9</f>
        <v>£m 18/19</v>
      </c>
      <c r="D57" s="26">
        <f>D56/D42</f>
        <v>0</v>
      </c>
      <c r="E57" s="26">
        <f t="shared" ref="E57:H57" si="9">E56/E42</f>
        <v>0</v>
      </c>
      <c r="F57" s="26">
        <f t="shared" si="9"/>
        <v>0</v>
      </c>
      <c r="G57" s="26">
        <f t="shared" si="9"/>
        <v>0</v>
      </c>
      <c r="H57" s="26">
        <f t="shared" si="9"/>
        <v>0</v>
      </c>
      <c r="I57" s="608">
        <f>SUM(D57:INDEX(D57:H57,0,MATCH('RFPR cover'!$C$9,$D$6:$H$6,0)))</f>
        <v>0</v>
      </c>
      <c r="J57" s="609">
        <f>SUM(D57:H57)</f>
        <v>0</v>
      </c>
    </row>
    <row r="58" spans="1:11">
      <c r="B58" s="80"/>
      <c r="C58" s="480"/>
      <c r="D58" s="586"/>
      <c r="E58" s="586"/>
      <c r="F58" s="586"/>
      <c r="G58" s="586"/>
      <c r="H58" s="586"/>
      <c r="I58" s="587"/>
      <c r="J58" s="587"/>
    </row>
    <row r="59" spans="1:11">
      <c r="A59" s="479"/>
      <c r="B59" s="341"/>
      <c r="C59" s="341"/>
      <c r="D59" s="341"/>
      <c r="E59" s="341"/>
      <c r="F59" s="341"/>
      <c r="G59" s="341"/>
      <c r="H59" s="341"/>
      <c r="I59" s="341"/>
      <c r="J59" s="341"/>
      <c r="K59" s="341"/>
    </row>
    <row r="60" spans="1:11">
      <c r="A60" s="479"/>
      <c r="B60" s="593" t="s">
        <v>566</v>
      </c>
      <c r="C60" s="405"/>
      <c r="D60" s="405"/>
      <c r="E60" s="405"/>
      <c r="F60" s="405"/>
      <c r="G60" s="405"/>
      <c r="H60" s="405"/>
      <c r="I60" s="405"/>
      <c r="J60" s="405"/>
      <c r="K60" s="405"/>
    </row>
    <row r="61" spans="1:11">
      <c r="A61" s="479"/>
      <c r="B61" s="594" t="s">
        <v>567</v>
      </c>
      <c r="C61" s="595"/>
      <c r="D61" s="595"/>
      <c r="E61" s="595"/>
      <c r="F61" s="595"/>
      <c r="G61" s="595"/>
      <c r="H61" s="595"/>
      <c r="I61" s="595"/>
      <c r="J61" s="595"/>
      <c r="K61" s="595"/>
    </row>
    <row r="62" spans="1:11">
      <c r="A62" s="479"/>
      <c r="B62" s="341"/>
      <c r="C62" s="341"/>
      <c r="D62" s="341"/>
      <c r="E62" s="341"/>
      <c r="F62" s="341"/>
      <c r="G62" s="341"/>
      <c r="H62" s="341"/>
      <c r="I62" s="341"/>
      <c r="J62" s="341"/>
      <c r="K62" s="341"/>
    </row>
    <row r="63" spans="1:11">
      <c r="B63" s="80" t="s">
        <v>24</v>
      </c>
      <c r="C63" s="480" t="s">
        <v>383</v>
      </c>
      <c r="D63" s="92">
        <f>Data!$C$8</f>
        <v>0.55000000000000004</v>
      </c>
      <c r="E63" s="93">
        <f>Data!$C$8</f>
        <v>0.55000000000000004</v>
      </c>
      <c r="F63" s="93">
        <f>Data!$C$8</f>
        <v>0.55000000000000004</v>
      </c>
      <c r="G63" s="93">
        <f>Data!$C$8</f>
        <v>0.55000000000000004</v>
      </c>
      <c r="H63" s="93">
        <f>Data!$C$8</f>
        <v>0.55000000000000004</v>
      </c>
      <c r="I63" s="341"/>
      <c r="K63" s="348"/>
    </row>
    <row r="64" spans="1:11">
      <c r="B64" s="80" t="s">
        <v>568</v>
      </c>
      <c r="C64" s="480" t="s">
        <v>383</v>
      </c>
      <c r="D64" s="93">
        <f>'R6 - Net Debt'!D75</f>
        <v>0.54350066861172353</v>
      </c>
      <c r="E64" s="93">
        <f>'R6 - Net Debt'!E75</f>
        <v>0.56889286603401068</v>
      </c>
      <c r="F64" s="93">
        <f>'R6 - Net Debt'!F75</f>
        <v>0.59882321526612647</v>
      </c>
      <c r="G64" s="93">
        <f>'R6 - Net Debt'!G75</f>
        <v>0.60106917980950514</v>
      </c>
      <c r="H64" s="93">
        <f>'R6 - Net Debt'!H75</f>
        <v>0.54981261637294054</v>
      </c>
      <c r="I64" s="341"/>
      <c r="K64" s="348"/>
    </row>
    <row r="65" spans="2:12">
      <c r="B65" s="80"/>
      <c r="C65" s="480"/>
      <c r="D65" s="480"/>
      <c r="E65" s="480"/>
      <c r="F65" s="480"/>
      <c r="G65" s="480"/>
      <c r="H65" s="480"/>
      <c r="I65" s="341"/>
      <c r="K65" s="348"/>
    </row>
    <row r="66" spans="2:12">
      <c r="B66" s="80" t="s">
        <v>569</v>
      </c>
      <c r="C66" s="29" t="s">
        <v>419</v>
      </c>
      <c r="D66" s="18">
        <f t="shared" ref="D66:H66" si="10">D40</f>
        <v>-35.375637130818149</v>
      </c>
      <c r="E66" s="19">
        <f t="shared" si="10"/>
        <v>-94.862891096646649</v>
      </c>
      <c r="F66" s="19">
        <f t="shared" si="10"/>
        <v>-12.65354375821714</v>
      </c>
      <c r="G66" s="19">
        <f t="shared" si="10"/>
        <v>84.387660898763841</v>
      </c>
      <c r="H66" s="19">
        <f t="shared" si="10"/>
        <v>92.697257327696008</v>
      </c>
    </row>
    <row r="67" spans="2:12">
      <c r="B67" s="80" t="s">
        <v>570</v>
      </c>
      <c r="C67" s="29" t="s">
        <v>419</v>
      </c>
      <c r="D67" s="18">
        <f>((D63-D64)/D64)*D66</f>
        <v>-0.42303165766454637</v>
      </c>
      <c r="E67" s="18">
        <f t="shared" ref="E67:H67" si="11">((E63-E64)/E64)*E66</f>
        <v>3.1503855999852499</v>
      </c>
      <c r="F67" s="18">
        <f t="shared" si="11"/>
        <v>1.0316679030425226</v>
      </c>
      <c r="G67" s="18">
        <f t="shared" si="11"/>
        <v>-7.1699045183257324</v>
      </c>
      <c r="H67" s="18">
        <f t="shared" si="11"/>
        <v>3.159248765719383E-2</v>
      </c>
      <c r="K67" s="348"/>
    </row>
    <row r="68" spans="2:12">
      <c r="B68" s="80" t="s">
        <v>571</v>
      </c>
      <c r="C68" s="29" t="s">
        <v>419</v>
      </c>
      <c r="D68" s="21">
        <f>SUM(D66:D67)</f>
        <v>-35.798668788482694</v>
      </c>
      <c r="E68" s="22">
        <f t="shared" ref="E68:H68" si="12">SUM(E66:E67)</f>
        <v>-91.712505496661393</v>
      </c>
      <c r="F68" s="22">
        <f t="shared" si="12"/>
        <v>-11.621875855174617</v>
      </c>
      <c r="G68" s="22">
        <f t="shared" si="12"/>
        <v>77.217756380438104</v>
      </c>
      <c r="H68" s="22">
        <f t="shared" si="12"/>
        <v>92.7288498153532</v>
      </c>
    </row>
    <row r="69" spans="2:12">
      <c r="B69" s="80"/>
      <c r="C69" s="29"/>
      <c r="D69" s="29"/>
      <c r="E69" s="29"/>
      <c r="F69" s="29"/>
      <c r="G69" s="29"/>
      <c r="H69" s="29"/>
      <c r="I69" s="29"/>
      <c r="J69" s="29"/>
      <c r="K69" s="29"/>
      <c r="L69" s="29"/>
    </row>
    <row r="70" spans="2:12">
      <c r="B70" s="79" t="s">
        <v>571</v>
      </c>
      <c r="C70" s="488" t="str">
        <f>Data!$C$9</f>
        <v>£m 18/19</v>
      </c>
      <c r="D70" s="26">
        <f t="shared" ref="D70:H70" si="13">D68/D42</f>
        <v>-33.000748804643131</v>
      </c>
      <c r="E70" s="27">
        <f t="shared" si="13"/>
        <v>-77.724845742251489</v>
      </c>
      <c r="F70" s="27">
        <f t="shared" si="13"/>
        <v>-9.3488308061797145</v>
      </c>
      <c r="G70" s="27">
        <f t="shared" si="13"/>
        <v>61.685314995357444</v>
      </c>
      <c r="H70" s="27">
        <f t="shared" si="13"/>
        <v>73.890922682821071</v>
      </c>
      <c r="I70" s="608">
        <f>SUM(D70:INDEX(D70:H70,0,MATCH('RFPR cover'!$C$9,$D$6:$H$6,0)))</f>
        <v>-110.72559454689463</v>
      </c>
      <c r="J70" s="609">
        <f>SUM(D70:H70)</f>
        <v>15.501812325104169</v>
      </c>
    </row>
    <row r="71" spans="2:12">
      <c r="B71" s="80" t="s">
        <v>572</v>
      </c>
      <c r="C71" s="480" t="str">
        <f>Data!$C$9</f>
        <v>£m 18/19</v>
      </c>
      <c r="D71" s="18">
        <f>D57*((D63-D64)/D64)+D57</f>
        <v>0</v>
      </c>
      <c r="E71" s="18">
        <f t="shared" ref="E71:H71" si="14">E57*((E63-E64)/E64)+E57</f>
        <v>0</v>
      </c>
      <c r="F71" s="18">
        <f t="shared" si="14"/>
        <v>0</v>
      </c>
      <c r="G71" s="18">
        <f t="shared" si="14"/>
        <v>0</v>
      </c>
      <c r="H71" s="18">
        <f t="shared" si="14"/>
        <v>0</v>
      </c>
      <c r="I71" s="610">
        <f>SUM(D71:INDEX(D71:H71,0,MATCH('RFPR cover'!$C$9,$D$6:$H$6,0)))</f>
        <v>0</v>
      </c>
      <c r="J71" s="611">
        <f>SUM(D71:H71)</f>
        <v>0</v>
      </c>
      <c r="K71" s="480"/>
    </row>
    <row r="72" spans="2:12"/>
    <row r="73" spans="2:12">
      <c r="B73" s="596" t="s">
        <v>573</v>
      </c>
      <c r="C73" s="597"/>
      <c r="D73" s="597"/>
      <c r="E73" s="597"/>
      <c r="F73" s="597"/>
      <c r="G73" s="597"/>
      <c r="H73" s="597"/>
      <c r="I73" s="597"/>
      <c r="J73" s="597"/>
      <c r="K73" s="597"/>
      <c r="L73" s="480"/>
    </row>
    <row r="74" spans="2:12">
      <c r="B74" s="505"/>
      <c r="C74" s="480"/>
      <c r="D74" s="480"/>
      <c r="E74" s="480"/>
      <c r="F74" s="480"/>
      <c r="G74" s="480"/>
      <c r="H74" s="480"/>
      <c r="I74" s="480"/>
      <c r="J74" s="480"/>
      <c r="K74" s="480"/>
      <c r="L74" s="480"/>
    </row>
    <row r="75" spans="2:12">
      <c r="B75" s="594" t="s">
        <v>574</v>
      </c>
      <c r="C75" s="598"/>
      <c r="D75" s="598"/>
      <c r="E75" s="598"/>
      <c r="F75" s="598"/>
      <c r="G75" s="598"/>
      <c r="H75" s="598"/>
      <c r="I75" s="598"/>
      <c r="J75" s="598"/>
      <c r="K75" s="598"/>
      <c r="L75" s="480"/>
    </row>
    <row r="76" spans="2:12">
      <c r="B76" s="599"/>
      <c r="C76" s="599"/>
      <c r="D76" s="599"/>
      <c r="E76" s="599"/>
      <c r="F76" s="599"/>
      <c r="G76" s="599"/>
      <c r="H76" s="599"/>
      <c r="I76" s="599"/>
      <c r="J76" s="599"/>
      <c r="K76" s="599"/>
      <c r="L76" s="480"/>
    </row>
    <row r="77" spans="2:12">
      <c r="B77" s="80" t="s">
        <v>575</v>
      </c>
      <c r="C77" s="480" t="str">
        <f>Data!$C$9</f>
        <v>£m 18/19</v>
      </c>
      <c r="D77" s="534">
        <f>'R7 - RAV'!F43</f>
        <v>26.991157995440304</v>
      </c>
      <c r="E77" s="534">
        <f>'R7 - RAV'!G43</f>
        <v>25.273190896704847</v>
      </c>
      <c r="F77" s="534">
        <f>'R7 - RAV'!H43</f>
        <v>27.093235937846099</v>
      </c>
      <c r="G77" s="534">
        <f>'R7 - RAV'!I43</f>
        <v>32.455509473424328</v>
      </c>
      <c r="H77" s="534">
        <f>'R7 - RAV'!J43</f>
        <v>39.606025189167994</v>
      </c>
      <c r="I77" s="599"/>
      <c r="J77" s="600"/>
      <c r="L77" s="480"/>
    </row>
    <row r="78" spans="2:12">
      <c r="B78" s="80"/>
      <c r="C78" s="480"/>
      <c r="D78" s="601"/>
      <c r="E78" s="601"/>
      <c r="F78" s="601"/>
      <c r="G78" s="601"/>
      <c r="H78" s="601"/>
      <c r="I78" s="599"/>
      <c r="J78" s="587"/>
      <c r="L78" s="480"/>
    </row>
    <row r="79" spans="2:12">
      <c r="B79" s="80"/>
      <c r="C79" s="480"/>
      <c r="D79" s="601"/>
      <c r="E79" s="602"/>
      <c r="F79" s="602"/>
      <c r="G79" s="602"/>
      <c r="H79" s="602"/>
      <c r="I79" s="587"/>
      <c r="J79" s="587"/>
      <c r="L79" s="480"/>
    </row>
    <row r="80" spans="2:12">
      <c r="B80" s="603" t="s">
        <v>576</v>
      </c>
      <c r="C80" s="597"/>
      <c r="D80" s="597"/>
      <c r="E80" s="597"/>
      <c r="F80" s="597"/>
      <c r="G80" s="597"/>
      <c r="H80" s="597"/>
      <c r="I80" s="597"/>
      <c r="J80" s="597"/>
      <c r="K80" s="597"/>
    </row>
    <row r="81" spans="2:11">
      <c r="B81" s="594" t="s">
        <v>577</v>
      </c>
      <c r="C81" s="595"/>
      <c r="D81" s="595"/>
      <c r="E81" s="595"/>
      <c r="F81" s="595"/>
      <c r="G81" s="595"/>
      <c r="H81" s="595"/>
      <c r="I81" s="595"/>
      <c r="J81" s="595"/>
      <c r="K81" s="595"/>
    </row>
    <row r="82" spans="2:11" ht="24.6" customHeight="1">
      <c r="B82" s="577" t="s">
        <v>578</v>
      </c>
      <c r="C82" s="480"/>
      <c r="D82" s="480"/>
      <c r="E82" s="480"/>
      <c r="F82" s="480"/>
      <c r="G82" s="480"/>
      <c r="H82" s="480"/>
      <c r="I82" s="480"/>
      <c r="J82" s="480"/>
      <c r="K82" s="480"/>
    </row>
    <row r="83" spans="2:11">
      <c r="B83" s="80" t="s">
        <v>579</v>
      </c>
      <c r="C83" s="480" t="str">
        <f>Data!$C$9</f>
        <v>£m 18/19</v>
      </c>
      <c r="D83" s="26">
        <f>D77-D44-D57</f>
        <v>59.601938068187721</v>
      </c>
      <c r="E83" s="26">
        <f>E77-E44-E57</f>
        <v>105.6679368173609</v>
      </c>
      <c r="F83" s="26">
        <f>F77-F44-F57</f>
        <v>37.271957614819826</v>
      </c>
      <c r="G83" s="26">
        <f>G77-G44-G57</f>
        <v>-34.957475418485615</v>
      </c>
      <c r="H83" s="26">
        <f>H77-H44-H57</f>
        <v>-34.259723040745669</v>
      </c>
      <c r="I83" s="608">
        <f>SUM(D83:INDEX(D83:H83,0,MATCH('RFPR cover'!$C$9,$D$6:$H$6,0)))</f>
        <v>165.26987488554863</v>
      </c>
      <c r="J83" s="609">
        <f>SUM(D83:H83)</f>
        <v>133.32463404113719</v>
      </c>
      <c r="K83" s="480"/>
    </row>
    <row r="84" spans="2:11">
      <c r="B84" s="80"/>
      <c r="K84" s="480"/>
    </row>
    <row r="85" spans="2:11">
      <c r="B85" s="80" t="s">
        <v>580</v>
      </c>
      <c r="C85" s="480" t="str">
        <f>Data!$C$9</f>
        <v>£m 18/19</v>
      </c>
      <c r="D85" s="26">
        <f>D77-D70-D71</f>
        <v>59.991906800083434</v>
      </c>
      <c r="E85" s="26">
        <f>E77-E70-E71</f>
        <v>102.99803663895634</v>
      </c>
      <c r="F85" s="26">
        <f>F77-F70-F71</f>
        <v>36.442066744025816</v>
      </c>
      <c r="G85" s="26">
        <f>G77-G70-G71</f>
        <v>-29.229805521933116</v>
      </c>
      <c r="H85" s="26">
        <f>H77-H70-H71</f>
        <v>-34.284897493653077</v>
      </c>
      <c r="I85" s="608">
        <f>SUM(D85:INDEX(D85:H85,0,MATCH('RFPR cover'!$C$9,$D$6:$H$6,0)))</f>
        <v>162.98994343903976</v>
      </c>
      <c r="J85" s="609">
        <f>SUM(D85:H85)</f>
        <v>135.91730716747941</v>
      </c>
      <c r="K85" s="480"/>
    </row>
    <row r="86" spans="2:11">
      <c r="B86" s="80"/>
      <c r="K86" s="480"/>
    </row>
    <row r="87" spans="2:11">
      <c r="B87" s="80" t="s">
        <v>581</v>
      </c>
      <c r="C87" s="480" t="str">
        <f>Data!$C$9</f>
        <v>£m 18/19</v>
      </c>
      <c r="D87" s="26">
        <f>D83-D85</f>
        <v>-0.38996873189571346</v>
      </c>
      <c r="E87" s="26">
        <f t="shared" ref="E87:H87" si="15">E83-E85</f>
        <v>2.6699001784045606</v>
      </c>
      <c r="F87" s="26">
        <f t="shared" si="15"/>
        <v>0.82989087079401003</v>
      </c>
      <c r="G87" s="26">
        <f t="shared" si="15"/>
        <v>-5.7276698965524986</v>
      </c>
      <c r="H87" s="26">
        <f t="shared" si="15"/>
        <v>2.5174452907407385E-2</v>
      </c>
      <c r="I87" s="608">
        <f>SUM(D87:INDEX(D87:H87,0,MATCH('RFPR cover'!$C$9,$D$6:$H$6,0)))</f>
        <v>2.2799314465088472</v>
      </c>
      <c r="J87" s="609">
        <f>SUM(D87:H87)</f>
        <v>-2.592673126342234</v>
      </c>
      <c r="K87" s="480"/>
    </row>
    <row r="88" spans="2:11">
      <c r="K88" s="480"/>
    </row>
    <row r="89" spans="2:11">
      <c r="K89" s="480"/>
    </row>
    <row r="90" spans="2:11">
      <c r="K90" s="480"/>
    </row>
    <row r="91" spans="2:11">
      <c r="K91" s="480"/>
    </row>
    <row r="92" spans="2:11"/>
    <row r="93" spans="2:11"/>
    <row r="94" spans="2:11"/>
    <row r="95" spans="2:11"/>
    <row r="96" spans="2:11"/>
    <row r="97"/>
    <row r="98"/>
    <row r="99"/>
    <row r="100"/>
  </sheetData>
  <sheetProtection insertRows="0" sort="0" autoFilter="0" pivotTables="0"/>
  <conditionalFormatting sqref="D48">
    <cfRule type="expression" dxfId="35" priority="4">
      <formula>D$5="Forecast"</formula>
    </cfRule>
    <cfRule type="expression" dxfId="34" priority="5">
      <formula>C$12="N/A"</formula>
    </cfRule>
  </conditionalFormatting>
  <conditionalFormatting sqref="D30:E30">
    <cfRule type="expression" dxfId="33" priority="3">
      <formula>C$12="N/A"</formula>
    </cfRule>
  </conditionalFormatting>
  <conditionalFormatting sqref="D30:H30">
    <cfRule type="expression" dxfId="32" priority="1">
      <formula>D$5="Actuals"</formula>
    </cfRule>
  </conditionalFormatting>
  <pageMargins left="0.70866141732283472" right="0.70866141732283472" top="0.74803149606299213" bottom="0.74803149606299213" header="0.31496062992125984" footer="0.31496062992125984"/>
  <pageSetup paperSize="8" scale="65" orientation="landscape" r:id="rId1"/>
  <headerFooter>
    <oddFooter>&amp;C&amp;"Calibri"&amp;11&amp;K000000_x000D_&amp;1#&amp;"Calibri"&amp;12&amp;K008000Internal Use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W113"/>
  <sheetViews>
    <sheetView zoomScaleNormal="100" workbookViewId="0"/>
  </sheetViews>
  <sheetFormatPr defaultColWidth="0" defaultRowHeight="12.75" zeroHeight="1"/>
  <cols>
    <col min="1" max="1" width="8.375" style="104" customWidth="1"/>
    <col min="2" max="2" width="85.75" style="104" bestFit="1" customWidth="1"/>
    <col min="3" max="3" width="14.125" style="104" customWidth="1"/>
    <col min="4" max="8" width="11.125" style="104" customWidth="1"/>
    <col min="9" max="9" width="5" style="104" customWidth="1"/>
    <col min="10" max="10" width="12.875" style="104" customWidth="1"/>
    <col min="11" max="23" width="9.25" style="104" customWidth="1"/>
    <col min="24" max="16384" width="9" style="104" hidden="1"/>
  </cols>
  <sheetData>
    <row r="1" spans="1:23" ht="20.25">
      <c r="A1" s="326" t="s">
        <v>257</v>
      </c>
      <c r="B1" s="328"/>
      <c r="C1" s="329"/>
      <c r="D1" s="329"/>
      <c r="E1" s="329"/>
      <c r="F1" s="329"/>
      <c r="G1" s="329"/>
      <c r="H1" s="329"/>
      <c r="I1" s="468"/>
    </row>
    <row r="2" spans="1:23" ht="20.25">
      <c r="A2" s="331" t="str">
        <f>Licensee</f>
        <v>SPT</v>
      </c>
      <c r="B2" s="333"/>
      <c r="C2" s="334"/>
      <c r="D2" s="334"/>
      <c r="E2" s="334"/>
      <c r="F2" s="334"/>
      <c r="G2" s="334"/>
      <c r="H2" s="334"/>
      <c r="I2" s="336"/>
    </row>
    <row r="3" spans="1:23" ht="20.25">
      <c r="A3" s="568">
        <f>Reporting_Year</f>
        <v>2023</v>
      </c>
      <c r="B3" s="569" t="str">
        <f>'R5 - Financing'!B3</f>
        <v/>
      </c>
      <c r="C3" s="337"/>
      <c r="D3" s="337"/>
      <c r="E3" s="337"/>
      <c r="F3" s="337"/>
      <c r="G3" s="337"/>
      <c r="H3" s="337"/>
      <c r="I3" s="339"/>
    </row>
    <row r="4" spans="1:23" ht="12.75" customHeight="1">
      <c r="A4" s="570"/>
      <c r="B4" s="570"/>
      <c r="C4" s="570"/>
      <c r="D4" s="570"/>
      <c r="E4" s="570"/>
      <c r="F4" s="570"/>
      <c r="G4" s="570"/>
      <c r="H4" s="570"/>
      <c r="I4" s="571"/>
    </row>
    <row r="5" spans="1:23">
      <c r="A5" s="341"/>
      <c r="B5" s="492"/>
      <c r="C5" s="492"/>
      <c r="D5" s="340" t="str">
        <f t="shared" ref="D5:H5" si="0">IF(D6&lt;=Reporting_Year,"Actuals","Forecast")</f>
        <v>Actuals</v>
      </c>
      <c r="E5" s="340" t="str">
        <f t="shared" si="0"/>
        <v>Actuals</v>
      </c>
      <c r="F5" s="340" t="str">
        <f t="shared" si="0"/>
        <v>Forecast</v>
      </c>
      <c r="G5" s="340" t="str">
        <f t="shared" si="0"/>
        <v>Forecast</v>
      </c>
      <c r="H5" s="340" t="str">
        <f t="shared" si="0"/>
        <v>Forecast</v>
      </c>
      <c r="I5" s="341"/>
      <c r="J5" s="341"/>
      <c r="K5" s="341"/>
      <c r="L5" s="341"/>
      <c r="M5" s="341"/>
      <c r="N5" s="341"/>
      <c r="O5" s="341"/>
      <c r="P5" s="341"/>
      <c r="Q5" s="341"/>
      <c r="R5" s="341"/>
      <c r="S5" s="341"/>
      <c r="T5" s="341"/>
      <c r="U5" s="341"/>
      <c r="V5" s="341"/>
      <c r="W5" s="341"/>
    </row>
    <row r="6" spans="1:23">
      <c r="A6" s="341"/>
      <c r="B6" s="341"/>
      <c r="C6" s="341"/>
      <c r="D6" s="469">
        <f>'RFPR cover'!$C$6</f>
        <v>2022</v>
      </c>
      <c r="E6" s="470">
        <f>D6+1</f>
        <v>2023</v>
      </c>
      <c r="F6" s="470">
        <f t="shared" ref="F6:H6" si="1">E6+1</f>
        <v>2024</v>
      </c>
      <c r="G6" s="470">
        <f t="shared" si="1"/>
        <v>2025</v>
      </c>
      <c r="H6" s="470">
        <f t="shared" si="1"/>
        <v>2026</v>
      </c>
      <c r="I6" s="341"/>
      <c r="J6" s="341"/>
      <c r="K6" s="341"/>
      <c r="L6" s="341"/>
      <c r="M6" s="341"/>
      <c r="N6" s="341"/>
      <c r="O6" s="341"/>
      <c r="P6" s="341"/>
      <c r="Q6" s="341"/>
      <c r="R6" s="341"/>
      <c r="S6" s="341"/>
      <c r="T6" s="341"/>
      <c r="U6" s="341"/>
      <c r="V6" s="341"/>
      <c r="W6" s="341"/>
    </row>
    <row r="7" spans="1:23">
      <c r="A7" s="341"/>
      <c r="B7" s="341"/>
      <c r="C7" s="341"/>
      <c r="D7" s="469" t="str">
        <f>RIIO_2_start_date-1&amp;"/"&amp;RIGHT(RIIO_2_start_date,2)</f>
        <v>2021/22</v>
      </c>
      <c r="E7" s="469" t="str">
        <f>RIIO_2_start_date&amp;"/"&amp;RIGHT(RIIO_2_start_date+1,2)</f>
        <v>2022/23</v>
      </c>
      <c r="F7" s="469" t="str">
        <f>RIIO_2_start_date+1&amp;"/"&amp;RIGHT(RIIO_2_start_date+2,2)</f>
        <v>2023/24</v>
      </c>
      <c r="G7" s="469" t="str">
        <f>RIIO_2_start_date+2&amp;"/"&amp;RIGHT(RIIO_2_start_date+3,2)</f>
        <v>2024/25</v>
      </c>
      <c r="H7" s="575" t="str">
        <f>RIIO_2_start_date+3&amp;"/"&amp;RIGHT(RIIO_2_start_date+4,2)</f>
        <v>2025/26</v>
      </c>
      <c r="I7" s="341"/>
      <c r="J7" s="341"/>
      <c r="K7" s="341"/>
      <c r="L7" s="341"/>
      <c r="M7" s="341"/>
      <c r="N7" s="341"/>
      <c r="O7" s="341"/>
      <c r="P7" s="341"/>
      <c r="Q7" s="341"/>
      <c r="R7" s="341"/>
      <c r="S7" s="341"/>
      <c r="T7" s="341"/>
      <c r="U7" s="341"/>
      <c r="V7" s="341"/>
      <c r="W7" s="341"/>
    </row>
    <row r="8" spans="1:23">
      <c r="A8" s="341"/>
      <c r="B8" s="341"/>
      <c r="C8" s="341"/>
      <c r="D8" s="341"/>
      <c r="E8" s="341"/>
      <c r="F8" s="341"/>
      <c r="G8" s="341"/>
      <c r="H8" s="341"/>
      <c r="I8" s="341"/>
      <c r="J8" s="341"/>
      <c r="K8" s="341"/>
      <c r="L8" s="341"/>
      <c r="M8" s="341"/>
      <c r="N8" s="341"/>
      <c r="O8" s="341"/>
      <c r="P8" s="341"/>
      <c r="Q8" s="341"/>
      <c r="R8" s="341"/>
      <c r="S8" s="341"/>
      <c r="T8" s="341"/>
      <c r="U8" s="341"/>
      <c r="V8" s="341"/>
      <c r="W8" s="341"/>
    </row>
    <row r="9" spans="1:23">
      <c r="A9" s="341"/>
      <c r="B9" s="80" t="s">
        <v>596</v>
      </c>
      <c r="C9" s="29" t="s">
        <v>419</v>
      </c>
      <c r="D9" s="612">
        <v>6.3</v>
      </c>
      <c r="E9" s="619">
        <f>D11</f>
        <v>-2.2000000000000002</v>
      </c>
      <c r="F9" s="619">
        <f t="shared" ref="F9:H9" si="2">E11</f>
        <v>-0.5</v>
      </c>
      <c r="G9" s="619">
        <f t="shared" si="2"/>
        <v>0</v>
      </c>
      <c r="H9" s="619">
        <f t="shared" si="2"/>
        <v>0</v>
      </c>
      <c r="I9" s="341"/>
      <c r="J9" s="341"/>
      <c r="K9" s="341"/>
      <c r="L9" s="341"/>
      <c r="M9" s="341"/>
      <c r="N9" s="341"/>
      <c r="O9" s="341"/>
      <c r="P9" s="341"/>
      <c r="Q9" s="341"/>
      <c r="R9" s="341"/>
      <c r="S9" s="341"/>
      <c r="T9" s="341"/>
      <c r="U9" s="341"/>
      <c r="V9" s="341"/>
      <c r="W9" s="341"/>
    </row>
    <row r="10" spans="1:23">
      <c r="A10" s="341"/>
      <c r="B10" s="80"/>
      <c r="C10" s="341"/>
      <c r="D10" s="341"/>
      <c r="E10" s="341"/>
      <c r="F10" s="341"/>
      <c r="G10" s="341"/>
      <c r="H10" s="341"/>
      <c r="I10" s="341"/>
      <c r="J10" s="341"/>
      <c r="K10" s="341"/>
      <c r="L10" s="341"/>
      <c r="M10" s="341"/>
      <c r="N10" s="341"/>
      <c r="O10" s="341"/>
      <c r="P10" s="341"/>
      <c r="Q10" s="341"/>
      <c r="R10" s="341"/>
      <c r="S10" s="341"/>
      <c r="T10" s="341"/>
      <c r="U10" s="341"/>
      <c r="V10" s="341"/>
      <c r="W10" s="341"/>
    </row>
    <row r="11" spans="1:23">
      <c r="B11" s="80" t="s">
        <v>597</v>
      </c>
      <c r="C11" s="29" t="s">
        <v>419</v>
      </c>
      <c r="D11" s="620">
        <v>-2.2000000000000002</v>
      </c>
      <c r="E11" s="620">
        <v>-0.5</v>
      </c>
      <c r="F11" s="620">
        <v>0</v>
      </c>
      <c r="G11" s="620">
        <v>0</v>
      </c>
      <c r="H11" s="620">
        <v>0</v>
      </c>
    </row>
    <row r="12" spans="1:23">
      <c r="B12" s="349" t="s">
        <v>632</v>
      </c>
      <c r="C12" s="29" t="s">
        <v>419</v>
      </c>
      <c r="D12" s="621">
        <v>347.53526478000003</v>
      </c>
      <c r="E12" s="621">
        <v>347.53526478000003</v>
      </c>
      <c r="F12" s="621">
        <v>347.53526478000003</v>
      </c>
      <c r="G12" s="621">
        <v>347.53526478000003</v>
      </c>
      <c r="H12" s="621">
        <v>347.53526478000003</v>
      </c>
    </row>
    <row r="13" spans="1:23">
      <c r="B13" s="349" t="s">
        <v>633</v>
      </c>
      <c r="C13" s="29" t="s">
        <v>419</v>
      </c>
      <c r="D13" s="621">
        <v>0</v>
      </c>
      <c r="E13" s="621">
        <v>0</v>
      </c>
      <c r="F13" s="621">
        <v>0</v>
      </c>
      <c r="G13" s="621">
        <v>0</v>
      </c>
      <c r="H13" s="621">
        <v>0</v>
      </c>
    </row>
    <row r="14" spans="1:23">
      <c r="B14" s="349" t="s">
        <v>634</v>
      </c>
      <c r="C14" s="29" t="s">
        <v>419</v>
      </c>
      <c r="D14" s="621">
        <v>0</v>
      </c>
      <c r="E14" s="621">
        <v>0</v>
      </c>
      <c r="F14" s="621">
        <v>0</v>
      </c>
      <c r="G14" s="621">
        <v>0</v>
      </c>
      <c r="H14" s="621">
        <v>0</v>
      </c>
    </row>
    <row r="15" spans="1:23">
      <c r="B15" s="349" t="s">
        <v>635</v>
      </c>
      <c r="C15" s="29" t="s">
        <v>419</v>
      </c>
      <c r="D15" s="621">
        <v>-27.843217879999994</v>
      </c>
      <c r="E15" s="621">
        <v>5.2418173000000001</v>
      </c>
      <c r="F15" s="621">
        <v>0</v>
      </c>
      <c r="G15" s="621">
        <v>0</v>
      </c>
      <c r="H15" s="621">
        <v>0</v>
      </c>
    </row>
    <row r="16" spans="1:23">
      <c r="B16" s="349" t="s">
        <v>636</v>
      </c>
      <c r="C16" s="29" t="s">
        <v>419</v>
      </c>
      <c r="D16" s="621">
        <v>1166</v>
      </c>
      <c r="E16" s="621">
        <v>1444</v>
      </c>
      <c r="F16" s="621">
        <v>1310</v>
      </c>
      <c r="G16" s="621">
        <v>1240</v>
      </c>
      <c r="H16" s="621">
        <v>1150</v>
      </c>
    </row>
    <row r="17" spans="2:10">
      <c r="B17" s="349" t="s">
        <v>637</v>
      </c>
      <c r="C17" s="29" t="s">
        <v>419</v>
      </c>
      <c r="D17" s="621">
        <v>0</v>
      </c>
      <c r="E17" s="621">
        <v>0</v>
      </c>
      <c r="F17" s="621">
        <v>0</v>
      </c>
      <c r="G17" s="621">
        <v>0</v>
      </c>
      <c r="H17" s="621">
        <v>0</v>
      </c>
    </row>
    <row r="18" spans="2:10">
      <c r="B18" s="349" t="s">
        <v>638</v>
      </c>
      <c r="C18" s="29" t="s">
        <v>419</v>
      </c>
      <c r="D18" s="621">
        <v>0</v>
      </c>
      <c r="E18" s="621">
        <v>0</v>
      </c>
      <c r="F18" s="621">
        <v>0</v>
      </c>
      <c r="G18" s="621">
        <v>0</v>
      </c>
      <c r="H18" s="621">
        <v>0</v>
      </c>
    </row>
    <row r="19" spans="2:10">
      <c r="B19" s="349" t="s">
        <v>639</v>
      </c>
      <c r="C19" s="29" t="s">
        <v>419</v>
      </c>
      <c r="D19" s="621">
        <v>0</v>
      </c>
      <c r="E19" s="621">
        <v>0</v>
      </c>
      <c r="F19" s="621">
        <v>0</v>
      </c>
      <c r="G19" s="621">
        <v>0</v>
      </c>
      <c r="H19" s="621">
        <v>0</v>
      </c>
    </row>
    <row r="20" spans="2:10">
      <c r="B20" s="349" t="s">
        <v>207</v>
      </c>
      <c r="C20" s="29" t="s">
        <v>419</v>
      </c>
      <c r="D20" s="621">
        <v>0</v>
      </c>
      <c r="E20" s="621">
        <v>0</v>
      </c>
      <c r="F20" s="621">
        <v>0</v>
      </c>
      <c r="G20" s="621">
        <v>0</v>
      </c>
      <c r="H20" s="621">
        <v>0</v>
      </c>
    </row>
    <row r="21" spans="2:10">
      <c r="B21" s="441" t="s">
        <v>598</v>
      </c>
      <c r="C21" s="40" t="s">
        <v>419</v>
      </c>
      <c r="D21" s="622">
        <f>SUM(D11:D20)</f>
        <v>1483.4920469000001</v>
      </c>
      <c r="E21" s="622">
        <f>SUM(E11:E20)</f>
        <v>1796.2770820800001</v>
      </c>
      <c r="F21" s="622">
        <f>SUM(F11:F20)</f>
        <v>1657.53526478</v>
      </c>
      <c r="G21" s="622">
        <f>SUM(G11:G20)</f>
        <v>1587.53526478</v>
      </c>
      <c r="H21" s="622">
        <f>SUM(H11:H20)</f>
        <v>1497.53526478</v>
      </c>
      <c r="I21" s="341"/>
      <c r="J21" s="613"/>
    </row>
    <row r="22" spans="2:10">
      <c r="B22" s="441"/>
      <c r="C22" s="29"/>
      <c r="D22" s="41"/>
      <c r="E22" s="41"/>
      <c r="F22" s="41"/>
      <c r="G22" s="41"/>
      <c r="H22" s="41"/>
      <c r="I22" s="341"/>
      <c r="J22" s="341"/>
    </row>
    <row r="23" spans="2:10">
      <c r="B23" s="441" t="s">
        <v>599</v>
      </c>
      <c r="C23" s="577"/>
      <c r="D23" s="614"/>
      <c r="E23" s="614"/>
      <c r="F23" s="614"/>
      <c r="G23" s="614"/>
      <c r="H23" s="614"/>
      <c r="I23" s="341"/>
      <c r="J23" s="341"/>
    </row>
    <row r="24" spans="2:10">
      <c r="B24" s="579" t="s">
        <v>640</v>
      </c>
      <c r="C24" s="29" t="s">
        <v>419</v>
      </c>
      <c r="D24" s="623">
        <v>2.4647352199999659</v>
      </c>
      <c r="E24" s="623">
        <v>2.4647352199999659</v>
      </c>
      <c r="F24" s="623">
        <v>2.4647352199999659</v>
      </c>
      <c r="G24" s="623">
        <v>2.4647352199999659</v>
      </c>
      <c r="H24" s="623">
        <v>2.4647352199999659</v>
      </c>
      <c r="J24" s="341"/>
    </row>
    <row r="25" spans="2:10">
      <c r="B25" s="579" t="s">
        <v>641</v>
      </c>
      <c r="C25" s="29" t="s">
        <v>419</v>
      </c>
      <c r="D25" s="623">
        <v>0</v>
      </c>
      <c r="E25" s="623">
        <v>0</v>
      </c>
      <c r="F25" s="623">
        <v>0</v>
      </c>
      <c r="G25" s="623">
        <v>0</v>
      </c>
      <c r="H25" s="623">
        <v>0</v>
      </c>
      <c r="J25" s="341"/>
    </row>
    <row r="26" spans="2:10">
      <c r="B26" s="579" t="s">
        <v>642</v>
      </c>
      <c r="C26" s="29" t="s">
        <v>419</v>
      </c>
      <c r="D26" s="623">
        <v>0</v>
      </c>
      <c r="E26" s="623">
        <v>0</v>
      </c>
      <c r="F26" s="623">
        <v>0</v>
      </c>
      <c r="G26" s="623">
        <v>0</v>
      </c>
      <c r="H26" s="623">
        <v>0</v>
      </c>
      <c r="J26" s="341"/>
    </row>
    <row r="27" spans="2:10">
      <c r="B27" s="579" t="s">
        <v>643</v>
      </c>
      <c r="C27" s="29" t="s">
        <v>419</v>
      </c>
      <c r="D27" s="623">
        <v>0</v>
      </c>
      <c r="E27" s="623">
        <v>0</v>
      </c>
      <c r="F27" s="623">
        <v>0</v>
      </c>
      <c r="G27" s="623">
        <v>0</v>
      </c>
      <c r="H27" s="623">
        <v>0</v>
      </c>
      <c r="J27" s="341"/>
    </row>
    <row r="28" spans="2:10">
      <c r="B28" s="579" t="s">
        <v>627</v>
      </c>
      <c r="C28" s="29" t="s">
        <v>419</v>
      </c>
      <c r="D28" s="623">
        <v>0</v>
      </c>
      <c r="E28" s="623">
        <v>0</v>
      </c>
      <c r="F28" s="623">
        <v>0</v>
      </c>
      <c r="G28" s="623">
        <v>0</v>
      </c>
      <c r="H28" s="623">
        <v>0</v>
      </c>
      <c r="J28" s="341"/>
    </row>
    <row r="29" spans="2:10">
      <c r="B29" s="579" t="s">
        <v>628</v>
      </c>
      <c r="C29" s="29" t="s">
        <v>419</v>
      </c>
      <c r="D29" s="623">
        <v>0</v>
      </c>
      <c r="E29" s="623">
        <v>0</v>
      </c>
      <c r="F29" s="623">
        <v>0</v>
      </c>
      <c r="G29" s="623">
        <v>0</v>
      </c>
      <c r="H29" s="623">
        <v>0</v>
      </c>
      <c r="J29" s="341"/>
    </row>
    <row r="30" spans="2:10" ht="12.75" customHeight="1">
      <c r="B30" s="579" t="s">
        <v>629</v>
      </c>
      <c r="C30" s="29" t="s">
        <v>419</v>
      </c>
      <c r="D30" s="623">
        <v>0</v>
      </c>
      <c r="E30" s="623">
        <v>0</v>
      </c>
      <c r="F30" s="623">
        <v>0</v>
      </c>
      <c r="G30" s="623">
        <v>0</v>
      </c>
      <c r="H30" s="623">
        <v>0</v>
      </c>
      <c r="J30" s="341"/>
    </row>
    <row r="31" spans="2:10">
      <c r="B31" s="579" t="s">
        <v>630</v>
      </c>
      <c r="C31" s="29" t="s">
        <v>419</v>
      </c>
      <c r="D31" s="623">
        <v>0</v>
      </c>
      <c r="E31" s="623">
        <v>0</v>
      </c>
      <c r="F31" s="623">
        <v>0</v>
      </c>
      <c r="G31" s="623">
        <v>0</v>
      </c>
      <c r="H31" s="623">
        <v>0</v>
      </c>
      <c r="J31" s="341"/>
    </row>
    <row r="32" spans="2:10">
      <c r="B32" s="579" t="s">
        <v>631</v>
      </c>
      <c r="C32" s="29" t="s">
        <v>419</v>
      </c>
      <c r="D32" s="623">
        <v>0</v>
      </c>
      <c r="E32" s="623">
        <v>0</v>
      </c>
      <c r="F32" s="623">
        <v>0</v>
      </c>
      <c r="G32" s="623">
        <v>0</v>
      </c>
      <c r="H32" s="623">
        <v>0</v>
      </c>
      <c r="J32" s="341"/>
    </row>
    <row r="33" spans="2:11">
      <c r="B33" s="579" t="s">
        <v>611</v>
      </c>
      <c r="C33" s="29" t="s">
        <v>419</v>
      </c>
      <c r="D33" s="623">
        <v>0</v>
      </c>
      <c r="E33" s="623">
        <v>0</v>
      </c>
      <c r="F33" s="623">
        <v>0</v>
      </c>
      <c r="G33" s="623">
        <v>0</v>
      </c>
      <c r="H33" s="623">
        <v>0</v>
      </c>
      <c r="J33" s="341"/>
    </row>
    <row r="34" spans="2:11">
      <c r="B34" s="579" t="s">
        <v>612</v>
      </c>
      <c r="C34" s="29" t="s">
        <v>419</v>
      </c>
      <c r="D34" s="623">
        <v>0</v>
      </c>
      <c r="E34" s="623">
        <v>0</v>
      </c>
      <c r="F34" s="623">
        <v>0</v>
      </c>
      <c r="G34" s="623">
        <v>0</v>
      </c>
      <c r="H34" s="623">
        <v>0</v>
      </c>
      <c r="J34" s="341"/>
    </row>
    <row r="35" spans="2:11">
      <c r="B35" s="579" t="s">
        <v>613</v>
      </c>
      <c r="C35" s="29" t="s">
        <v>419</v>
      </c>
      <c r="D35" s="623">
        <v>0</v>
      </c>
      <c r="E35" s="623">
        <v>0</v>
      </c>
      <c r="F35" s="623">
        <v>0</v>
      </c>
      <c r="G35" s="623">
        <v>0</v>
      </c>
      <c r="H35" s="623">
        <v>0</v>
      </c>
      <c r="J35" s="341"/>
      <c r="K35" s="615"/>
    </row>
    <row r="36" spans="2:11">
      <c r="B36" s="579" t="s">
        <v>614</v>
      </c>
      <c r="C36" s="29" t="s">
        <v>419</v>
      </c>
      <c r="D36" s="623">
        <v>0</v>
      </c>
      <c r="E36" s="623">
        <v>0</v>
      </c>
      <c r="F36" s="623">
        <v>0</v>
      </c>
      <c r="G36" s="623">
        <v>0</v>
      </c>
      <c r="H36" s="623">
        <v>0</v>
      </c>
    </row>
    <row r="37" spans="2:11">
      <c r="B37" s="579" t="s">
        <v>615</v>
      </c>
      <c r="C37" s="29" t="s">
        <v>419</v>
      </c>
      <c r="D37" s="623">
        <v>0</v>
      </c>
      <c r="E37" s="623">
        <v>0</v>
      </c>
      <c r="F37" s="623">
        <v>0</v>
      </c>
      <c r="G37" s="623">
        <v>0</v>
      </c>
      <c r="H37" s="623">
        <v>0</v>
      </c>
    </row>
    <row r="38" spans="2:11">
      <c r="B38" s="579" t="s">
        <v>644</v>
      </c>
      <c r="C38" s="29" t="s">
        <v>419</v>
      </c>
      <c r="D38" s="623">
        <v>0</v>
      </c>
      <c r="E38" s="623">
        <v>0</v>
      </c>
      <c r="F38" s="623">
        <v>0</v>
      </c>
      <c r="G38" s="623">
        <v>0</v>
      </c>
      <c r="H38" s="623">
        <v>0</v>
      </c>
    </row>
    <row r="39" spans="2:11">
      <c r="B39" s="579" t="s">
        <v>645</v>
      </c>
      <c r="C39" s="29" t="s">
        <v>419</v>
      </c>
      <c r="D39" s="623">
        <v>0</v>
      </c>
      <c r="E39" s="623">
        <v>0</v>
      </c>
      <c r="F39" s="623">
        <v>0</v>
      </c>
      <c r="G39" s="623">
        <v>0</v>
      </c>
      <c r="H39" s="623">
        <v>0</v>
      </c>
    </row>
    <row r="40" spans="2:11">
      <c r="B40" s="580" t="s">
        <v>600</v>
      </c>
      <c r="C40" s="29" t="s">
        <v>419</v>
      </c>
      <c r="D40" s="78">
        <f>SUM(D21,D24:D39)</f>
        <v>1485.9567821200001</v>
      </c>
      <c r="E40" s="78">
        <f t="shared" ref="E40:H40" si="3">SUM(E21,E24:E39)</f>
        <v>1798.7418173000001</v>
      </c>
      <c r="F40" s="78">
        <f t="shared" si="3"/>
        <v>1660</v>
      </c>
      <c r="G40" s="78">
        <f t="shared" si="3"/>
        <v>1590</v>
      </c>
      <c r="H40" s="78">
        <f t="shared" si="3"/>
        <v>1500</v>
      </c>
    </row>
    <row r="41" spans="2:11">
      <c r="B41" s="581" t="s">
        <v>601</v>
      </c>
      <c r="C41" s="29" t="s">
        <v>419</v>
      </c>
      <c r="D41" s="425"/>
      <c r="E41" s="616"/>
      <c r="F41" s="616">
        <v>406.68785054071623</v>
      </c>
      <c r="G41" s="616">
        <v>726.23252232113191</v>
      </c>
      <c r="H41" s="616">
        <v>784.33041412299553</v>
      </c>
    </row>
    <row r="42" spans="2:11">
      <c r="B42" s="580" t="s">
        <v>602</v>
      </c>
      <c r="C42" s="29" t="s">
        <v>419</v>
      </c>
      <c r="D42" s="18">
        <f>SUM(D40:D41)</f>
        <v>1485.9567821200001</v>
      </c>
      <c r="E42" s="19">
        <f t="shared" ref="E42:H42" si="4">SUM(E40:E41)</f>
        <v>1798.7418173000001</v>
      </c>
      <c r="F42" s="19">
        <f t="shared" si="4"/>
        <v>2066.6878505407162</v>
      </c>
      <c r="G42" s="19">
        <f t="shared" si="4"/>
        <v>2316.2325223211319</v>
      </c>
      <c r="H42" s="19">
        <f t="shared" si="4"/>
        <v>2284.3304141229955</v>
      </c>
    </row>
    <row r="43" spans="2:11">
      <c r="D43" s="605" t="s">
        <v>830</v>
      </c>
      <c r="E43" s="605" t="s">
        <v>830</v>
      </c>
      <c r="F43" s="605" t="s">
        <v>830</v>
      </c>
      <c r="G43" s="605" t="s">
        <v>830</v>
      </c>
      <c r="H43" s="605" t="s">
        <v>830</v>
      </c>
    </row>
    <row r="44" spans="2:11"/>
    <row r="45" spans="2:11">
      <c r="B45" s="617" t="s">
        <v>603</v>
      </c>
      <c r="C45" s="29" t="s">
        <v>419</v>
      </c>
      <c r="D45" s="616">
        <v>1396.9541448999998</v>
      </c>
      <c r="E45" s="19">
        <f>D46</f>
        <v>1485.9567821200001</v>
      </c>
      <c r="F45" s="19">
        <f t="shared" ref="F45:H45" si="5">E46</f>
        <v>1798.7418173000001</v>
      </c>
      <c r="G45" s="19">
        <f t="shared" si="5"/>
        <v>2066.6878505407162</v>
      </c>
      <c r="H45" s="19">
        <f t="shared" si="5"/>
        <v>2316.2325223211319</v>
      </c>
      <c r="I45" s="135"/>
    </row>
    <row r="46" spans="2:11">
      <c r="B46" s="617" t="s">
        <v>604</v>
      </c>
      <c r="C46" s="29" t="s">
        <v>419</v>
      </c>
      <c r="D46" s="625">
        <f>D42</f>
        <v>1485.9567821200001</v>
      </c>
      <c r="E46" s="624">
        <f>E42</f>
        <v>1798.7418173000001</v>
      </c>
      <c r="F46" s="624">
        <f t="shared" ref="F46:H46" si="6">F42</f>
        <v>2066.6878505407162</v>
      </c>
      <c r="G46" s="624">
        <f t="shared" si="6"/>
        <v>2316.2325223211319</v>
      </c>
      <c r="H46" s="624">
        <f t="shared" si="6"/>
        <v>2284.3304141229955</v>
      </c>
      <c r="I46" s="135"/>
    </row>
    <row r="47" spans="2:11">
      <c r="D47" s="618"/>
      <c r="E47" s="618"/>
      <c r="F47" s="618"/>
      <c r="G47" s="618"/>
      <c r="H47" s="618"/>
    </row>
    <row r="48" spans="2:11">
      <c r="B48" s="441" t="s">
        <v>605</v>
      </c>
      <c r="D48" s="618"/>
      <c r="E48" s="618"/>
      <c r="F48" s="618"/>
      <c r="G48" s="618"/>
      <c r="H48" s="618"/>
    </row>
    <row r="49" spans="2:10">
      <c r="B49" s="579" t="s">
        <v>606</v>
      </c>
      <c r="C49" s="29" t="s">
        <v>419</v>
      </c>
      <c r="D49" s="616">
        <v>0</v>
      </c>
      <c r="E49" s="616">
        <v>0</v>
      </c>
      <c r="F49" s="616">
        <v>0</v>
      </c>
      <c r="G49" s="616">
        <v>0</v>
      </c>
      <c r="H49" s="616">
        <v>0</v>
      </c>
    </row>
    <row r="50" spans="2:10">
      <c r="B50" s="579" t="s">
        <v>607</v>
      </c>
      <c r="C50" s="29" t="s">
        <v>419</v>
      </c>
      <c r="D50" s="616">
        <v>0</v>
      </c>
      <c r="E50" s="616">
        <v>0</v>
      </c>
      <c r="F50" s="616">
        <v>0</v>
      </c>
      <c r="G50" s="616">
        <v>0</v>
      </c>
      <c r="H50" s="616">
        <v>0</v>
      </c>
    </row>
    <row r="51" spans="2:10">
      <c r="B51" s="579" t="s">
        <v>608</v>
      </c>
      <c r="C51" s="29" t="s">
        <v>419</v>
      </c>
      <c r="D51" s="616">
        <v>0</v>
      </c>
      <c r="E51" s="616">
        <v>0</v>
      </c>
      <c r="F51" s="616">
        <v>0</v>
      </c>
      <c r="G51" s="616">
        <v>0</v>
      </c>
      <c r="H51" s="616">
        <v>0</v>
      </c>
    </row>
    <row r="52" spans="2:10">
      <c r="B52" s="579" t="s">
        <v>609</v>
      </c>
      <c r="C52" s="29" t="s">
        <v>419</v>
      </c>
      <c r="D52" s="616">
        <v>0</v>
      </c>
      <c r="E52" s="616">
        <v>0</v>
      </c>
      <c r="F52" s="616">
        <v>0</v>
      </c>
      <c r="G52" s="616">
        <v>0</v>
      </c>
      <c r="H52" s="616">
        <v>0</v>
      </c>
    </row>
    <row r="53" spans="2:10">
      <c r="B53" s="579" t="s">
        <v>610</v>
      </c>
      <c r="C53" s="29" t="s">
        <v>419</v>
      </c>
      <c r="D53" s="616">
        <v>0</v>
      </c>
      <c r="E53" s="616">
        <v>0</v>
      </c>
      <c r="F53" s="616">
        <v>0</v>
      </c>
      <c r="G53" s="616">
        <v>0</v>
      </c>
      <c r="H53" s="616">
        <v>0</v>
      </c>
    </row>
    <row r="54" spans="2:10">
      <c r="B54" s="579" t="s">
        <v>611</v>
      </c>
      <c r="C54" s="29" t="s">
        <v>419</v>
      </c>
      <c r="D54" s="616">
        <v>0</v>
      </c>
      <c r="E54" s="616">
        <v>0</v>
      </c>
      <c r="F54" s="616">
        <v>0</v>
      </c>
      <c r="G54" s="616">
        <v>0</v>
      </c>
      <c r="H54" s="616">
        <v>0</v>
      </c>
    </row>
    <row r="55" spans="2:10">
      <c r="B55" s="579" t="s">
        <v>612</v>
      </c>
      <c r="C55" s="29" t="s">
        <v>419</v>
      </c>
      <c r="D55" s="616">
        <v>0</v>
      </c>
      <c r="E55" s="616">
        <v>0</v>
      </c>
      <c r="F55" s="616">
        <v>0</v>
      </c>
      <c r="G55" s="616">
        <v>0</v>
      </c>
      <c r="H55" s="616">
        <v>0</v>
      </c>
    </row>
    <row r="56" spans="2:10">
      <c r="B56" s="579" t="s">
        <v>613</v>
      </c>
      <c r="C56" s="29" t="s">
        <v>419</v>
      </c>
      <c r="D56" s="616">
        <v>0</v>
      </c>
      <c r="E56" s="616">
        <v>0</v>
      </c>
      <c r="F56" s="616">
        <v>0</v>
      </c>
      <c r="G56" s="616">
        <v>0</v>
      </c>
      <c r="H56" s="616">
        <v>0</v>
      </c>
    </row>
    <row r="57" spans="2:10">
      <c r="B57" s="579" t="s">
        <v>614</v>
      </c>
      <c r="C57" s="29" t="s">
        <v>419</v>
      </c>
      <c r="D57" s="616">
        <v>0</v>
      </c>
      <c r="E57" s="616">
        <v>0</v>
      </c>
      <c r="F57" s="616">
        <v>0</v>
      </c>
      <c r="G57" s="616">
        <v>0</v>
      </c>
      <c r="H57" s="616">
        <v>0</v>
      </c>
    </row>
    <row r="58" spans="2:10">
      <c r="B58" s="579" t="s">
        <v>615</v>
      </c>
      <c r="C58" s="29" t="s">
        <v>419</v>
      </c>
      <c r="D58" s="616">
        <v>0</v>
      </c>
      <c r="E58" s="616">
        <v>0</v>
      </c>
      <c r="F58" s="616">
        <v>0</v>
      </c>
      <c r="G58" s="616">
        <v>0</v>
      </c>
      <c r="H58" s="616">
        <v>0</v>
      </c>
    </row>
    <row r="59" spans="2:10">
      <c r="B59" s="579" t="s">
        <v>616</v>
      </c>
      <c r="C59" s="29" t="s">
        <v>419</v>
      </c>
      <c r="D59" s="18">
        <f>D40</f>
        <v>1485.9567821200001</v>
      </c>
      <c r="E59" s="18">
        <f>E40</f>
        <v>1798.7418173000001</v>
      </c>
      <c r="F59" s="18">
        <f>F40</f>
        <v>1660</v>
      </c>
      <c r="G59" s="18">
        <f>G40</f>
        <v>1590</v>
      </c>
      <c r="H59" s="18">
        <f>H40</f>
        <v>1500</v>
      </c>
    </row>
    <row r="60" spans="2:10">
      <c r="D60" s="618"/>
      <c r="E60" s="618"/>
      <c r="F60" s="618"/>
      <c r="G60" s="618"/>
      <c r="H60" s="618"/>
    </row>
    <row r="61" spans="2:10">
      <c r="B61" s="441" t="s">
        <v>617</v>
      </c>
    </row>
    <row r="62" spans="2:10">
      <c r="B62" s="104" t="s">
        <v>618</v>
      </c>
      <c r="C62" s="135" t="s">
        <v>383</v>
      </c>
      <c r="D62" s="626">
        <v>0</v>
      </c>
      <c r="E62" s="626">
        <v>0</v>
      </c>
      <c r="F62" s="626">
        <v>0</v>
      </c>
      <c r="G62" s="626">
        <v>0</v>
      </c>
      <c r="H62" s="626">
        <v>0</v>
      </c>
    </row>
    <row r="63" spans="2:10">
      <c r="B63" s="104" t="s">
        <v>584</v>
      </c>
      <c r="C63" s="135" t="s">
        <v>383</v>
      </c>
      <c r="D63" s="627">
        <f>1-D62</f>
        <v>1</v>
      </c>
      <c r="E63" s="628">
        <f t="shared" ref="E63:H63" si="7">1-E62</f>
        <v>1</v>
      </c>
      <c r="F63" s="628">
        <f t="shared" si="7"/>
        <v>1</v>
      </c>
      <c r="G63" s="628">
        <f t="shared" si="7"/>
        <v>1</v>
      </c>
      <c r="H63" s="628">
        <f t="shared" si="7"/>
        <v>1</v>
      </c>
      <c r="J63" s="615"/>
    </row>
    <row r="64" spans="2:10">
      <c r="C64" s="135"/>
      <c r="D64" s="135"/>
      <c r="E64" s="135"/>
      <c r="F64" s="135"/>
      <c r="G64" s="135"/>
      <c r="H64" s="135"/>
      <c r="I64" s="135"/>
    </row>
    <row r="65" spans="2:8">
      <c r="B65" s="104" t="s">
        <v>619</v>
      </c>
      <c r="C65" s="29" t="s">
        <v>419</v>
      </c>
      <c r="D65" s="629">
        <f>AVERAGE(D45:D46)*D63</f>
        <v>1441.4554635099998</v>
      </c>
      <c r="E65" s="630">
        <f t="shared" ref="E65:H65" si="8">AVERAGE(E45:E46)*E63</f>
        <v>1642.3492997100002</v>
      </c>
      <c r="F65" s="630">
        <f t="shared" si="8"/>
        <v>1932.7148339203582</v>
      </c>
      <c r="G65" s="630">
        <f t="shared" si="8"/>
        <v>2191.4601864309243</v>
      </c>
      <c r="H65" s="630">
        <f t="shared" si="8"/>
        <v>2300.2814682220637</v>
      </c>
    </row>
    <row r="66" spans="2:8">
      <c r="B66" s="104" t="s">
        <v>620</v>
      </c>
      <c r="C66" s="29" t="s">
        <v>419</v>
      </c>
      <c r="D66" s="631">
        <f>D67-D65</f>
        <v>1210.7132397814667</v>
      </c>
      <c r="E66" s="632">
        <f t="shared" ref="E66:H66" si="9">E67-E65</f>
        <v>1244.5726459974612</v>
      </c>
      <c r="F66" s="632">
        <f t="shared" si="9"/>
        <v>1294.8067194339642</v>
      </c>
      <c r="G66" s="632">
        <f t="shared" si="9"/>
        <v>1454.4765210965797</v>
      </c>
      <c r="H66" s="632">
        <f t="shared" si="9"/>
        <v>1883.4738689995397</v>
      </c>
    </row>
    <row r="67" spans="2:8">
      <c r="B67" s="104" t="s">
        <v>621</v>
      </c>
      <c r="C67" s="29" t="s">
        <v>419</v>
      </c>
      <c r="D67" s="633">
        <f>IF(D6=RIIO_2_start_date,AVERAGE(('R7 - RAV'!F15*'R7 - RAV'!F30),'R7 - RAV'!F32),AVERAGE('R7 - RAV'!E32:F32))</f>
        <v>2652.1687032914665</v>
      </c>
      <c r="E67" s="633">
        <f>IF(E6=RIIO_2_start_date,AVERAGE(('R7 - RAV'!G15*'R7 - RAV'!G30),'R7 - RAV'!G32),AVERAGE('R7 - RAV'!F32:G32))</f>
        <v>2886.9219457074614</v>
      </c>
      <c r="F67" s="633">
        <f>IF(F6=RIIO_2_start_date,AVERAGE(('R7 - RAV'!H15*'R7 - RAV'!H30),'R7 - RAV'!H32),AVERAGE('R7 - RAV'!G32:H32))</f>
        <v>3227.5215533543224</v>
      </c>
      <c r="G67" s="633">
        <f>IF(G6=RIIO_2_start_date,AVERAGE(('R7 - RAV'!I15*'R7 - RAV'!I30),'R7 - RAV'!I32),AVERAGE('R7 - RAV'!H32:I32))</f>
        <v>3645.936707527504</v>
      </c>
      <c r="H67" s="633">
        <f>IF(H6=RIIO_2_start_date,AVERAGE(('R7 - RAV'!J15*'R7 - RAV'!J30),'R7 - RAV'!J32),AVERAGE('R7 - RAV'!I32:J32))</f>
        <v>4183.7553372216034</v>
      </c>
    </row>
    <row r="68" spans="2:8">
      <c r="B68" s="104" t="s">
        <v>622</v>
      </c>
      <c r="C68" s="29" t="s">
        <v>383</v>
      </c>
      <c r="D68" s="634">
        <f>D65/D67</f>
        <v>0.54350066861172353</v>
      </c>
      <c r="E68" s="635">
        <f t="shared" ref="E68:H68" si="10">E65/E67</f>
        <v>0.56889286603401068</v>
      </c>
      <c r="F68" s="635">
        <f t="shared" si="10"/>
        <v>0.59882321526612647</v>
      </c>
      <c r="G68" s="635">
        <f t="shared" si="10"/>
        <v>0.60106917980950514</v>
      </c>
      <c r="H68" s="635">
        <f t="shared" si="10"/>
        <v>0.54981261637294054</v>
      </c>
    </row>
    <row r="69" spans="2:8">
      <c r="B69" s="104" t="s">
        <v>24</v>
      </c>
      <c r="C69" s="29" t="s">
        <v>383</v>
      </c>
      <c r="D69" s="636">
        <f>Data!$C$8</f>
        <v>0.55000000000000004</v>
      </c>
      <c r="E69" s="637">
        <f>Data!$C$8</f>
        <v>0.55000000000000004</v>
      </c>
      <c r="F69" s="637">
        <f>Data!$C$8</f>
        <v>0.55000000000000004</v>
      </c>
      <c r="G69" s="637">
        <f>Data!$C$8</f>
        <v>0.55000000000000004</v>
      </c>
      <c r="H69" s="637">
        <f>Data!$C$8</f>
        <v>0.55000000000000004</v>
      </c>
    </row>
    <row r="70" spans="2:8">
      <c r="B70" s="104" t="s">
        <v>623</v>
      </c>
      <c r="C70" s="29" t="s">
        <v>383</v>
      </c>
      <c r="D70" s="638">
        <f t="shared" ref="D70:H70" si="11">IF(ISBLANK(D21),"n/a",D68-D69)</f>
        <v>-6.4993313882765191E-3</v>
      </c>
      <c r="E70" s="639">
        <f t="shared" si="11"/>
        <v>1.8892866034010636E-2</v>
      </c>
      <c r="F70" s="639">
        <f t="shared" si="11"/>
        <v>4.882321526612643E-2</v>
      </c>
      <c r="G70" s="639">
        <f t="shared" si="11"/>
        <v>5.1069179809505094E-2</v>
      </c>
      <c r="H70" s="639">
        <f t="shared" si="11"/>
        <v>-1.8738362705950085E-4</v>
      </c>
    </row>
    <row r="71" spans="2:8"/>
    <row r="72" spans="2:8">
      <c r="B72" s="104" t="s">
        <v>624</v>
      </c>
      <c r="C72" s="480" t="str">
        <f>Data!$C$9</f>
        <v>£m 18/19</v>
      </c>
      <c r="D72" s="640">
        <f>D74*D68</f>
        <v>1301.0831412085561</v>
      </c>
      <c r="E72" s="641">
        <f t="shared" ref="E72:H72" si="12">E74*E68</f>
        <v>1375.8600959857499</v>
      </c>
      <c r="F72" s="641">
        <f t="shared" si="12"/>
        <v>1536.3691909341637</v>
      </c>
      <c r="G72" s="641">
        <f t="shared" si="12"/>
        <v>1721.8010996902722</v>
      </c>
      <c r="H72" s="641">
        <f t="shared" si="12"/>
        <v>1799.6605234205817</v>
      </c>
    </row>
    <row r="73" spans="2:8">
      <c r="B73" s="104" t="s">
        <v>625</v>
      </c>
      <c r="C73" s="480" t="str">
        <f>Data!$C$9</f>
        <v>£m 18/19</v>
      </c>
      <c r="D73" s="642">
        <f>D74*(1-D68)</f>
        <v>1092.8111377661933</v>
      </c>
      <c r="E73" s="643">
        <f t="shared" ref="E73:H73" si="13">E74*(1-E68)</f>
        <v>1042.6270711630391</v>
      </c>
      <c r="F73" s="643">
        <f t="shared" si="13"/>
        <v>1029.2781516648988</v>
      </c>
      <c r="G73" s="643">
        <f t="shared" si="13"/>
        <v>1142.7628432421484</v>
      </c>
      <c r="H73" s="643">
        <f t="shared" si="13"/>
        <v>1473.5646988247067</v>
      </c>
    </row>
    <row r="74" spans="2:8">
      <c r="B74" s="104" t="s">
        <v>626</v>
      </c>
      <c r="C74" s="480" t="str">
        <f>Data!$C$9</f>
        <v>£m 18/19</v>
      </c>
      <c r="D74" s="633">
        <f>'R7 - RAV'!F41</f>
        <v>2393.8942789747493</v>
      </c>
      <c r="E74" s="633">
        <f>'R7 - RAV'!G41</f>
        <v>2418.487167148789</v>
      </c>
      <c r="F74" s="633">
        <f>'R7 - RAV'!H41</f>
        <v>2565.6473425990625</v>
      </c>
      <c r="G74" s="633">
        <f>'R7 - RAV'!I41</f>
        <v>2864.5639429324206</v>
      </c>
      <c r="H74" s="633">
        <f>'R7 - RAV'!J41</f>
        <v>3273.2252222452885</v>
      </c>
    </row>
    <row r="75" spans="2:8">
      <c r="B75" s="104" t="s">
        <v>622</v>
      </c>
      <c r="C75" s="29" t="s">
        <v>383</v>
      </c>
      <c r="D75" s="634">
        <f>D72/D74</f>
        <v>0.54350066861172353</v>
      </c>
      <c r="E75" s="635">
        <f t="shared" ref="E75:H75" si="14">E72/E74</f>
        <v>0.56889286603401068</v>
      </c>
      <c r="F75" s="635">
        <f t="shared" si="14"/>
        <v>0.59882321526612647</v>
      </c>
      <c r="G75" s="635">
        <f t="shared" si="14"/>
        <v>0.60106917980950514</v>
      </c>
      <c r="H75" s="635">
        <f t="shared" si="14"/>
        <v>0.54981261637294054</v>
      </c>
    </row>
    <row r="76" spans="2:8">
      <c r="B76" s="104" t="s">
        <v>24</v>
      </c>
      <c r="C76" s="29" t="s">
        <v>383</v>
      </c>
      <c r="D76" s="636">
        <f>Data!$C$8</f>
        <v>0.55000000000000004</v>
      </c>
      <c r="E76" s="637">
        <f>Data!$C$8</f>
        <v>0.55000000000000004</v>
      </c>
      <c r="F76" s="637">
        <f>Data!$C$8</f>
        <v>0.55000000000000004</v>
      </c>
      <c r="G76" s="637">
        <f>Data!$C$8</f>
        <v>0.55000000000000004</v>
      </c>
      <c r="H76" s="637">
        <f>Data!$C$8</f>
        <v>0.55000000000000004</v>
      </c>
    </row>
    <row r="77" spans="2:8">
      <c r="B77" s="104" t="s">
        <v>623</v>
      </c>
      <c r="C77" s="29" t="s">
        <v>383</v>
      </c>
      <c r="D77" s="638">
        <f t="shared" ref="D77:H77" si="15">IF(ISBLANK(D21),"n/a",D75-D76)</f>
        <v>-6.4993313882765191E-3</v>
      </c>
      <c r="E77" s="639">
        <f t="shared" si="15"/>
        <v>1.8892866034010636E-2</v>
      </c>
      <c r="F77" s="639">
        <f t="shared" si="15"/>
        <v>4.882321526612643E-2</v>
      </c>
      <c r="G77" s="639">
        <f t="shared" si="15"/>
        <v>5.1069179809505094E-2</v>
      </c>
      <c r="H77" s="639">
        <f t="shared" si="15"/>
        <v>-1.8738362705950085E-4</v>
      </c>
    </row>
    <row r="78" spans="2:8"/>
    <row r="79" spans="2:8"/>
    <row r="80" spans="2:8"/>
    <row r="81"/>
    <row r="82"/>
    <row r="83"/>
    <row r="84"/>
    <row r="85"/>
    <row r="86"/>
    <row r="87"/>
    <row r="88"/>
    <row r="89"/>
    <row r="90"/>
    <row r="91"/>
    <row r="92"/>
    <row r="93"/>
    <row r="94"/>
    <row r="95"/>
    <row r="96"/>
    <row r="97"/>
    <row r="98"/>
    <row r="99"/>
    <row r="100"/>
    <row r="101"/>
    <row r="102"/>
    <row r="103"/>
    <row r="104"/>
    <row r="105"/>
    <row r="106"/>
    <row r="107"/>
    <row r="108"/>
    <row r="109"/>
    <row r="110"/>
    <row r="111"/>
    <row r="112"/>
    <row r="113"/>
  </sheetData>
  <sheetProtection insertRows="0" sort="0" autoFilter="0" pivotTables="0"/>
  <conditionalFormatting sqref="D41">
    <cfRule type="expression" dxfId="31" priority="2">
      <formula>D$5="Forecast"</formula>
    </cfRule>
    <cfRule type="expression" dxfId="30" priority="3">
      <formula>C$12="N/A"</formula>
    </cfRule>
  </conditionalFormatting>
  <conditionalFormatting sqref="D41:H41">
    <cfRule type="expression" dxfId="29" priority="1">
      <formula>D$5="Actuals"</formula>
    </cfRule>
  </conditionalFormatting>
  <pageMargins left="0.70866141732283472" right="0.70866141732283472" top="0.74803149606299213" bottom="0.74803149606299213" header="0.31496062992125984" footer="0.31496062992125984"/>
  <pageSetup paperSize="8" scale="87" orientation="landscape" r:id="rId1"/>
  <headerFooter>
    <oddFooter>&amp;C&amp;"Calibri"&amp;11&amp;K000000_x000D_&amp;1#&amp;"Calibri"&amp;12&amp;K008000Internal Use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S64"/>
  <sheetViews>
    <sheetView zoomScale="85" zoomScaleNormal="85" workbookViewId="0"/>
  </sheetViews>
  <sheetFormatPr defaultColWidth="9" defaultRowHeight="12.75"/>
  <cols>
    <col min="1" max="1" width="8.375" style="104" customWidth="1"/>
    <col min="2" max="2" width="52.125" style="104" bestFit="1" customWidth="1"/>
    <col min="3" max="4" width="4.25" style="104" customWidth="1"/>
    <col min="5" max="5" width="14.125" style="135" customWidth="1"/>
    <col min="6" max="10" width="11.125" style="104" customWidth="1"/>
    <col min="11" max="11" width="5" style="104" customWidth="1"/>
    <col min="12" max="12" width="9" style="104"/>
    <col min="13" max="13" width="9" style="80"/>
    <col min="14" max="16384" width="9" style="104"/>
  </cols>
  <sheetData>
    <row r="1" spans="1:19" ht="20.25">
      <c r="A1" s="326" t="s">
        <v>646</v>
      </c>
      <c r="B1" s="328"/>
      <c r="C1" s="328"/>
      <c r="D1" s="328"/>
      <c r="E1" s="644"/>
      <c r="F1" s="329"/>
      <c r="G1" s="329"/>
      <c r="H1" s="329"/>
      <c r="I1" s="329"/>
      <c r="J1" s="329"/>
      <c r="K1" s="468"/>
    </row>
    <row r="2" spans="1:19" ht="20.25">
      <c r="A2" s="331" t="str">
        <f>Licensee</f>
        <v>SPT</v>
      </c>
      <c r="B2" s="333"/>
      <c r="C2" s="333"/>
      <c r="D2" s="333"/>
      <c r="E2" s="645"/>
      <c r="F2" s="334"/>
      <c r="G2" s="334"/>
      <c r="H2" s="334"/>
      <c r="I2" s="334"/>
      <c r="J2" s="334"/>
      <c r="K2" s="336"/>
    </row>
    <row r="3" spans="1:19" ht="20.25">
      <c r="A3" s="333">
        <f>Reporting_Year</f>
        <v>2023</v>
      </c>
      <c r="B3" s="337"/>
      <c r="C3" s="337"/>
      <c r="D3" s="337"/>
      <c r="E3" s="337"/>
      <c r="F3" s="337"/>
      <c r="G3" s="337"/>
      <c r="H3" s="337"/>
      <c r="I3" s="337"/>
      <c r="J3" s="337"/>
      <c r="K3" s="339"/>
    </row>
    <row r="4" spans="1:19" s="341" customFormat="1" ht="12.75" customHeight="1">
      <c r="E4" s="479"/>
      <c r="M4" s="401"/>
    </row>
    <row r="5" spans="1:19" s="341" customFormat="1">
      <c r="B5" s="646"/>
      <c r="C5" s="646"/>
      <c r="D5" s="646"/>
      <c r="E5" s="647"/>
      <c r="F5" s="493" t="str">
        <f>IF(F6&lt;=Reporting_Year-1,"Actuals","Forecast")</f>
        <v>Actuals</v>
      </c>
      <c r="G5" s="493" t="str">
        <f>IF(G6&lt;=Reporting_Year-1,"Actuals","Forecast")</f>
        <v>Forecast</v>
      </c>
      <c r="H5" s="493" t="str">
        <f>IF(H6&lt;=Reporting_Year-1,"Actuals","Forecast")</f>
        <v>Forecast</v>
      </c>
      <c r="I5" s="493" t="str">
        <f>IF(I6&lt;=Reporting_Year-1,"Actuals","Forecast")</f>
        <v>Forecast</v>
      </c>
      <c r="J5" s="493" t="str">
        <f>IF(J6&lt;=Reporting_Year-1,"Actuals","Forecast")</f>
        <v>Forecast</v>
      </c>
      <c r="M5" s="401"/>
    </row>
    <row r="6" spans="1:19" s="341" customFormat="1">
      <c r="E6" s="479"/>
      <c r="F6" s="469">
        <f>'RFPR cover'!$C$6</f>
        <v>2022</v>
      </c>
      <c r="G6" s="470">
        <f>F6+1</f>
        <v>2023</v>
      </c>
      <c r="H6" s="470">
        <f t="shared" ref="H6:J6" si="0">G6+1</f>
        <v>2024</v>
      </c>
      <c r="I6" s="470">
        <f t="shared" si="0"/>
        <v>2025</v>
      </c>
      <c r="J6" s="470">
        <f t="shared" si="0"/>
        <v>2026</v>
      </c>
      <c r="M6" s="401"/>
    </row>
    <row r="7" spans="1:19" s="341" customFormat="1">
      <c r="E7" s="479"/>
      <c r="F7" s="469" t="str">
        <f>RIIO_2_start_date-1&amp;"/"&amp;RIGHT(RIIO_2_start_date,2)</f>
        <v>2021/22</v>
      </c>
      <c r="G7" s="469" t="str">
        <f>RIIO_2_start_date&amp;"/"&amp;RIGHT(RIIO_2_start_date+1,2)</f>
        <v>2022/23</v>
      </c>
      <c r="H7" s="469" t="str">
        <f>RIIO_2_start_date+1&amp;"/"&amp;RIGHT(RIIO_2_start_date+2,2)</f>
        <v>2023/24</v>
      </c>
      <c r="I7" s="469" t="str">
        <f>RIIO_2_start_date+2&amp;"/"&amp;RIGHT(RIIO_2_start_date+3,2)</f>
        <v>2024/25</v>
      </c>
      <c r="J7" s="575" t="str">
        <f>RIIO_2_start_date+3&amp;"/"&amp;RIGHT(RIIO_2_start_date+4,2)</f>
        <v>2025/26</v>
      </c>
      <c r="M7" s="401"/>
    </row>
    <row r="8" spans="1:19" s="341" customFormat="1">
      <c r="E8" s="479"/>
      <c r="F8" s="479"/>
      <c r="G8" s="479"/>
      <c r="H8" s="479"/>
      <c r="I8" s="479"/>
      <c r="J8" s="479"/>
      <c r="K8" s="479"/>
      <c r="L8" s="479"/>
      <c r="M8" s="479"/>
      <c r="N8" s="479"/>
      <c r="O8" s="479"/>
      <c r="P8" s="479"/>
      <c r="Q8" s="479"/>
      <c r="R8" s="479"/>
      <c r="S8" s="479"/>
    </row>
    <row r="9" spans="1:19" s="341" customFormat="1">
      <c r="B9" s="648" t="s">
        <v>647</v>
      </c>
      <c r="C9" s="648"/>
      <c r="D9" s="648"/>
      <c r="L9" s="479"/>
      <c r="M9" s="401"/>
    </row>
    <row r="10" spans="1:19" s="341" customFormat="1">
      <c r="L10" s="479"/>
    </row>
    <row r="11" spans="1:19" s="341" customFormat="1">
      <c r="B11" s="649"/>
      <c r="C11" s="649"/>
      <c r="D11" s="649"/>
      <c r="E11" s="649"/>
      <c r="F11" s="649"/>
      <c r="G11" s="649"/>
      <c r="H11" s="649"/>
      <c r="I11" s="649"/>
      <c r="J11" s="649"/>
      <c r="K11" s="649"/>
      <c r="L11" s="479"/>
      <c r="M11" s="401"/>
    </row>
    <row r="12" spans="1:19" s="341" customFormat="1">
      <c r="B12" s="104" t="s">
        <v>648</v>
      </c>
      <c r="C12" s="104"/>
      <c r="D12" s="104"/>
      <c r="E12" s="650" t="str">
        <f>Data!$C$9</f>
        <v>£m 18/19</v>
      </c>
      <c r="F12" s="651">
        <v>2476.9756544445468</v>
      </c>
      <c r="G12" s="651">
        <v>2690.9534612980042</v>
      </c>
      <c r="H12" s="651">
        <v>2963.1338325453771</v>
      </c>
      <c r="I12" s="651">
        <v>3260.6916011877083</v>
      </c>
      <c r="J12" s="651">
        <v>3713.0483195439479</v>
      </c>
      <c r="L12" s="479"/>
      <c r="M12" s="401"/>
    </row>
    <row r="13" spans="1:19" s="341" customFormat="1">
      <c r="L13" s="479"/>
      <c r="M13" s="401"/>
    </row>
    <row r="14" spans="1:19" s="341" customFormat="1">
      <c r="B14" s="649"/>
      <c r="C14" s="649"/>
      <c r="D14" s="649"/>
      <c r="E14" s="479"/>
      <c r="F14" s="479"/>
      <c r="G14" s="479"/>
      <c r="H14" s="479"/>
      <c r="I14" s="479"/>
      <c r="J14" s="479"/>
      <c r="L14" s="479"/>
      <c r="M14" s="401"/>
    </row>
    <row r="15" spans="1:19" s="341" customFormat="1" ht="14.25">
      <c r="B15" s="341" t="s">
        <v>649</v>
      </c>
      <c r="E15" s="650" t="str">
        <f>Data!$C$9</f>
        <v>£m 18/19</v>
      </c>
      <c r="F15" s="651">
        <v>2417.5719795156724</v>
      </c>
      <c r="G15" s="669">
        <f>F24</f>
        <v>2442.2065797049718</v>
      </c>
      <c r="H15" s="669">
        <f>G24</f>
        <v>2465.7181183917182</v>
      </c>
      <c r="I15" s="669">
        <f>H24</f>
        <v>2752.6171780793616</v>
      </c>
      <c r="J15" s="669">
        <f>I24</f>
        <v>3075.6299002181213</v>
      </c>
      <c r="L15" s="479"/>
      <c r="M15" s="401"/>
    </row>
    <row r="16" spans="1:19" s="341" customFormat="1">
      <c r="B16" s="341" t="s">
        <v>650</v>
      </c>
      <c r="E16" s="650" t="str">
        <f>Data!$C$9</f>
        <v>£m 18/19</v>
      </c>
      <c r="F16" s="652">
        <v>0</v>
      </c>
      <c r="G16" s="653"/>
      <c r="H16" s="653"/>
      <c r="I16" s="653"/>
      <c r="J16" s="653"/>
      <c r="L16" s="479"/>
      <c r="M16" s="401"/>
    </row>
    <row r="17" spans="1:14" s="341" customFormat="1">
      <c r="B17" s="494" t="s">
        <v>651</v>
      </c>
      <c r="C17" s="494"/>
      <c r="D17" s="494"/>
      <c r="E17" s="650" t="str">
        <f>Data!$C$9</f>
        <v>£m 18/19</v>
      </c>
      <c r="F17" s="670">
        <f>SUM(F15:F16)</f>
        <v>2417.5719795156724</v>
      </c>
      <c r="G17" s="671">
        <f t="shared" ref="G17:J17" si="1">SUM(G15:G16)</f>
        <v>2442.2065797049718</v>
      </c>
      <c r="H17" s="671">
        <f t="shared" si="1"/>
        <v>2465.7181183917182</v>
      </c>
      <c r="I17" s="671">
        <f t="shared" si="1"/>
        <v>2752.6171780793616</v>
      </c>
      <c r="J17" s="671">
        <f t="shared" si="1"/>
        <v>3075.6299002181213</v>
      </c>
      <c r="L17" s="479"/>
      <c r="M17" s="401"/>
    </row>
    <row r="18" spans="1:14" s="341" customFormat="1">
      <c r="B18" s="654" t="s">
        <v>652</v>
      </c>
      <c r="C18" s="654"/>
      <c r="D18" s="654"/>
      <c r="E18" s="650" t="str">
        <f>Data!$C$9</f>
        <v>£m 18/19</v>
      </c>
      <c r="F18" s="655">
        <v>221.79764762689788</v>
      </c>
      <c r="G18" s="655">
        <v>251.46607548523983</v>
      </c>
      <c r="H18" s="655">
        <v>450.37746359183114</v>
      </c>
      <c r="I18" s="655">
        <v>477.41119174389286</v>
      </c>
      <c r="J18" s="655">
        <v>617.00767474166253</v>
      </c>
      <c r="L18" s="479"/>
      <c r="M18" s="401"/>
    </row>
    <row r="19" spans="1:14" s="341" customFormat="1">
      <c r="B19" s="654" t="s">
        <v>653</v>
      </c>
      <c r="C19" s="654"/>
      <c r="D19" s="654"/>
      <c r="E19" s="650" t="str">
        <f>Data!$C$9</f>
        <v>£m 18/19</v>
      </c>
      <c r="F19" s="656">
        <v>-34.769074739575302</v>
      </c>
      <c r="G19" s="656">
        <v>-53.376563897987211</v>
      </c>
      <c r="H19" s="656">
        <v>12.759896470547631</v>
      </c>
      <c r="I19" s="656">
        <v>23.779714781605151</v>
      </c>
      <c r="J19" s="656">
        <v>60.417144468969127</v>
      </c>
      <c r="L19" s="479"/>
      <c r="M19" s="401"/>
    </row>
    <row r="20" spans="1:14" s="341" customFormat="1">
      <c r="B20" s="657" t="s">
        <v>654</v>
      </c>
      <c r="C20" s="657"/>
      <c r="D20" s="657"/>
      <c r="E20" s="650" t="str">
        <f>Data!$C$9</f>
        <v>£m 18/19</v>
      </c>
      <c r="F20" s="672">
        <f>SUM(F18:F19)</f>
        <v>187.02857288732258</v>
      </c>
      <c r="G20" s="672">
        <f t="shared" ref="G20:J20" si="2">SUM(G18:G19)</f>
        <v>198.08951158725262</v>
      </c>
      <c r="H20" s="672">
        <f t="shared" si="2"/>
        <v>463.13736006237878</v>
      </c>
      <c r="I20" s="672">
        <f t="shared" si="2"/>
        <v>501.19090652549801</v>
      </c>
      <c r="J20" s="672">
        <f t="shared" si="2"/>
        <v>677.42481921063165</v>
      </c>
      <c r="L20" s="479"/>
      <c r="M20" s="401"/>
    </row>
    <row r="21" spans="1:14" s="341" customFormat="1">
      <c r="B21" s="654" t="s">
        <v>655</v>
      </c>
      <c r="C21" s="654"/>
      <c r="D21" s="654"/>
      <c r="E21" s="650" t="str">
        <f>Data!$C$9</f>
        <v>£m 18/19</v>
      </c>
      <c r="F21" s="658">
        <v>-162.39397269802322</v>
      </c>
      <c r="G21" s="658">
        <v>-175.35061900583031</v>
      </c>
      <c r="H21" s="658">
        <v>-178.19709234445901</v>
      </c>
      <c r="I21" s="658">
        <v>-179.85342310156099</v>
      </c>
      <c r="J21" s="658">
        <v>-164.65095638542363</v>
      </c>
      <c r="L21" s="479"/>
      <c r="M21" s="401"/>
    </row>
    <row r="22" spans="1:14" s="341" customFormat="1">
      <c r="B22" s="654" t="s">
        <v>656</v>
      </c>
      <c r="C22" s="654"/>
      <c r="D22" s="654"/>
      <c r="E22" s="650" t="str">
        <f>Data!$C$9</f>
        <v>£m 18/19</v>
      </c>
      <c r="F22" s="660">
        <v>0</v>
      </c>
      <c r="G22" s="660">
        <v>0.77264610532389555</v>
      </c>
      <c r="H22" s="660">
        <v>1.9587919697236114</v>
      </c>
      <c r="I22" s="660">
        <v>1.6752387148225529</v>
      </c>
      <c r="J22" s="660">
        <v>1.1468006085646607</v>
      </c>
      <c r="L22" s="479"/>
      <c r="M22" s="401"/>
    </row>
    <row r="23" spans="1:14" s="341" customFormat="1">
      <c r="B23" s="408" t="s">
        <v>657</v>
      </c>
      <c r="C23" s="408"/>
      <c r="D23" s="408"/>
      <c r="E23" s="650" t="str">
        <f>Data!$C$9</f>
        <v>£m 18/19</v>
      </c>
      <c r="F23" s="673">
        <f>SUM(F21:F22)</f>
        <v>-162.39397269802322</v>
      </c>
      <c r="G23" s="673">
        <f t="shared" ref="G23:J23" si="3">SUM(G21:G22)</f>
        <v>-174.57797290050641</v>
      </c>
      <c r="H23" s="673">
        <f t="shared" si="3"/>
        <v>-176.23830037473539</v>
      </c>
      <c r="I23" s="673">
        <f t="shared" si="3"/>
        <v>-178.17818438673845</v>
      </c>
      <c r="J23" s="673">
        <f t="shared" si="3"/>
        <v>-163.50415577685897</v>
      </c>
      <c r="L23" s="479"/>
      <c r="M23" s="401"/>
    </row>
    <row r="24" spans="1:14" s="341" customFormat="1">
      <c r="B24" s="494" t="s">
        <v>658</v>
      </c>
      <c r="C24" s="494"/>
      <c r="D24" s="494"/>
      <c r="E24" s="650" t="str">
        <f>Data!$C$9</f>
        <v>£m 18/19</v>
      </c>
      <c r="F24" s="674">
        <f>F17+F20+F23</f>
        <v>2442.2065797049718</v>
      </c>
      <c r="G24" s="674">
        <f t="shared" ref="G24:J24" si="4">G17+G20+G23</f>
        <v>2465.7181183917182</v>
      </c>
      <c r="H24" s="674">
        <f t="shared" si="4"/>
        <v>2752.6171780793616</v>
      </c>
      <c r="I24" s="674">
        <f t="shared" si="4"/>
        <v>3075.6299002181213</v>
      </c>
      <c r="J24" s="674">
        <f t="shared" si="4"/>
        <v>3589.5505636518938</v>
      </c>
      <c r="L24" s="479"/>
      <c r="M24" s="401"/>
    </row>
    <row r="25" spans="1:14" s="341" customFormat="1">
      <c r="B25" s="494"/>
      <c r="C25" s="494"/>
      <c r="D25" s="494"/>
      <c r="E25" s="650"/>
      <c r="F25" s="650"/>
      <c r="G25" s="650"/>
      <c r="H25" s="650"/>
      <c r="I25" s="650"/>
      <c r="J25" s="650"/>
      <c r="K25" s="650"/>
      <c r="L25" s="479"/>
      <c r="M25" s="650"/>
      <c r="N25" s="650"/>
    </row>
    <row r="26" spans="1:14" s="341" customFormat="1">
      <c r="B26" s="494" t="s">
        <v>659</v>
      </c>
      <c r="C26" s="650"/>
      <c r="D26" s="650"/>
      <c r="E26" s="661"/>
      <c r="F26" s="674">
        <f>F19+F22</f>
        <v>-34.769074739575302</v>
      </c>
      <c r="G26" s="675">
        <f>G19+G22</f>
        <v>-52.603917792663317</v>
      </c>
      <c r="H26" s="675">
        <f t="shared" ref="H26:J26" si="5">H19+H22</f>
        <v>14.718688440271242</v>
      </c>
      <c r="I26" s="675">
        <f t="shared" si="5"/>
        <v>25.454953496427702</v>
      </c>
      <c r="J26" s="676">
        <f t="shared" si="5"/>
        <v>61.563945077533788</v>
      </c>
      <c r="K26" s="650"/>
      <c r="L26" s="479"/>
      <c r="M26" s="650"/>
      <c r="N26" s="650"/>
    </row>
    <row r="27" spans="1:14" s="341" customFormat="1">
      <c r="B27" s="494" t="s">
        <v>660</v>
      </c>
      <c r="C27" s="650"/>
      <c r="D27" s="650"/>
      <c r="E27" s="662"/>
      <c r="F27" s="677" t="str">
        <f>IF(F5="Actuals",IF(ABS((F24-SUM($F26:F$26))-F12)&lt;0.1,"TRUE","FALSE"),"NA")</f>
        <v>TRUE</v>
      </c>
      <c r="G27" s="678" t="str">
        <f>IF(G5="Actuals",IF(ABS((G24-SUM($F26:G$26))-G12)&lt;0.1,"TRUE","FALSE"),"NA")</f>
        <v>NA</v>
      </c>
      <c r="H27" s="678" t="str">
        <f>IF(H5="Actuals",IF(ABS((H24-SUM($F26:H$26))-H12)&lt;0.1,"TRUE","FALSE"),"NA")</f>
        <v>NA</v>
      </c>
      <c r="I27" s="678" t="str">
        <f>IF(I5="Actuals",IF(ABS((I24-SUM($F26:I$26))-I12)&lt;0.1,"TRUE","FALSE"),"NA")</f>
        <v>NA</v>
      </c>
      <c r="J27" s="679" t="str">
        <f>IF(J5="Actuals",IF(ABS((J24-SUM($F26:J$26))-J12)&lt;0.1,"TRUE","FALSE"),"NA")</f>
        <v>NA</v>
      </c>
      <c r="K27" s="650"/>
      <c r="L27" s="479"/>
      <c r="N27" s="650"/>
    </row>
    <row r="28" spans="1:14" s="341" customFormat="1">
      <c r="B28" s="494"/>
      <c r="C28" s="494"/>
      <c r="D28" s="494"/>
      <c r="E28" s="650"/>
      <c r="F28" s="650"/>
      <c r="G28" s="650"/>
      <c r="H28" s="650"/>
      <c r="I28" s="650"/>
      <c r="J28" s="650"/>
      <c r="K28" s="650"/>
      <c r="L28" s="479"/>
      <c r="M28" s="650"/>
      <c r="N28" s="650"/>
    </row>
    <row r="29" spans="1:14" s="341" customFormat="1">
      <c r="B29" s="494"/>
      <c r="C29" s="494"/>
      <c r="D29" s="494"/>
      <c r="E29" s="650"/>
      <c r="F29" s="661"/>
      <c r="G29" s="650"/>
      <c r="H29" s="661"/>
      <c r="I29" s="661"/>
      <c r="J29" s="661"/>
      <c r="K29" s="650"/>
      <c r="L29" s="479"/>
      <c r="M29" s="650"/>
      <c r="N29" s="650"/>
    </row>
    <row r="30" spans="1:14" s="341" customFormat="1">
      <c r="A30" s="104"/>
      <c r="B30" s="341" t="s">
        <v>661</v>
      </c>
      <c r="E30" s="135" t="s">
        <v>662</v>
      </c>
      <c r="F30" s="680">
        <f>INDEX(Data!C18:N18,MATCH(RIIO_2_start_date-1,Data!C16:N16,0))/IF(Sector="ED2",Data!$E$17,Data!$C$17)</f>
        <v>1.0533528227824487</v>
      </c>
      <c r="G30" s="650"/>
      <c r="H30" s="661"/>
      <c r="I30" s="661"/>
      <c r="J30" s="663"/>
      <c r="K30" s="664"/>
      <c r="L30" s="479"/>
      <c r="M30" s="650"/>
      <c r="N30" s="650"/>
    </row>
    <row r="31" spans="1:14" s="341" customFormat="1">
      <c r="B31" s="494"/>
      <c r="C31" s="494"/>
      <c r="D31" s="494"/>
      <c r="E31" s="650"/>
      <c r="F31" s="665"/>
      <c r="G31" s="665"/>
      <c r="H31" s="665"/>
      <c r="I31" s="665"/>
      <c r="J31" s="665"/>
      <c r="K31" s="650"/>
      <c r="L31" s="479"/>
      <c r="M31" s="650"/>
      <c r="N31" s="650"/>
    </row>
    <row r="32" spans="1:14" s="341" customFormat="1">
      <c r="B32" s="494" t="s">
        <v>658</v>
      </c>
      <c r="C32" s="494"/>
      <c r="D32" s="494"/>
      <c r="E32" s="29" t="s">
        <v>419</v>
      </c>
      <c r="F32" s="681">
        <f>F24*Combined_real_to_nominal_prices_conversion_factor__financial_year_end</f>
        <v>2757.7811376803475</v>
      </c>
      <c r="G32" s="681">
        <f>G24*Combined_real_to_nominal_prices_conversion_factor__financial_year_end</f>
        <v>3016.0627537345754</v>
      </c>
      <c r="H32" s="681">
        <f>H24*Combined_real_to_nominal_prices_conversion_factor__financial_year_end</f>
        <v>3438.9803529740698</v>
      </c>
      <c r="I32" s="681">
        <f>I24*Combined_real_to_nominal_prices_conversion_factor__financial_year_end</f>
        <v>3852.8930620809383</v>
      </c>
      <c r="J32" s="681">
        <f>J24*Combined_real_to_nominal_prices_conversion_factor__financial_year_end</f>
        <v>4514.6176123622681</v>
      </c>
      <c r="L32" s="479"/>
      <c r="M32" s="650"/>
      <c r="N32" s="650"/>
    </row>
    <row r="33" spans="1:14" s="341" customFormat="1">
      <c r="B33" s="494"/>
      <c r="C33" s="494"/>
      <c r="D33" s="494"/>
      <c r="E33" s="650"/>
      <c r="F33" s="650"/>
      <c r="G33" s="650"/>
      <c r="H33" s="650"/>
      <c r="I33" s="650"/>
      <c r="J33" s="650"/>
      <c r="K33" s="650"/>
      <c r="L33" s="479"/>
      <c r="M33" s="650"/>
      <c r="N33" s="650"/>
    </row>
    <row r="34" spans="1:14" s="341" customFormat="1">
      <c r="B34" s="401" t="s">
        <v>663</v>
      </c>
      <c r="C34" s="401"/>
      <c r="D34" s="401"/>
      <c r="E34" s="650" t="s">
        <v>664</v>
      </c>
      <c r="F34" s="682">
        <f>INDEX(Data!$H$56:$P$84,MATCH('RFPR cover'!$C$7,Data!$B$56:$B$84,0),MATCH('R7 - RAV'!F$6,Data!$H$55:$P$55,0))</f>
        <v>2.0500000000000001E-2</v>
      </c>
      <c r="G34" s="682">
        <f>INDEX(Data!$H$56:$P$84,MATCH('RFPR cover'!$C$7,Data!$B$56:$B$84,0),MATCH('R7 - RAV'!G$6,Data!$H$55:$P$55,0))</f>
        <v>1.9E-2</v>
      </c>
      <c r="H34" s="682">
        <f>INDEX(Data!$H$56:$P$84,MATCH('RFPR cover'!$C$7,Data!$B$56:$B$84,0),MATCH('R7 - RAV'!H$6,Data!$H$55:$P$55,0))</f>
        <v>1.9199999999999998E-2</v>
      </c>
      <c r="I34" s="682">
        <f>INDEX(Data!$H$56:$P$84,MATCH('RFPR cover'!$C$7,Data!$B$56:$B$84,0),MATCH('R7 - RAV'!I$6,Data!$H$55:$P$55,0))</f>
        <v>2.06E-2</v>
      </c>
      <c r="J34" s="682">
        <f>INDEX(Data!$H$56:$P$84,MATCH('RFPR cover'!$C$7,Data!$B$56:$B$84,0),MATCH('R7 - RAV'!J$6,Data!$H$55:$P$55,0))</f>
        <v>2.1999999999999999E-2</v>
      </c>
      <c r="K34" s="650"/>
      <c r="L34" s="479"/>
      <c r="M34" s="650"/>
      <c r="N34" s="650"/>
    </row>
    <row r="35" spans="1:14" s="341" customFormat="1">
      <c r="B35" s="401" t="s">
        <v>665</v>
      </c>
      <c r="C35" s="401"/>
      <c r="D35" s="401"/>
      <c r="E35" s="650" t="s">
        <v>664</v>
      </c>
      <c r="F35" s="683">
        <f>INDEX(Data!$O$56:$U$84,MATCH('RFPR cover'!$C$7,Data!$B$56:$B$84,0),MATCH('R7 - RAV'!F$6,Data!$O$55:$U$55,0))</f>
        <v>4.2439449777777784E-2</v>
      </c>
      <c r="G35" s="683">
        <f>INDEX(Data!$O$56:$U$84,MATCH('RFPR cover'!$C$7,Data!$B$56:$B$84,0),MATCH('R7 - RAV'!G$6,Data!$O$55:$U$55,0))</f>
        <v>4.2616093333333334E-2</v>
      </c>
      <c r="H35" s="683">
        <f>INDEX(Data!$O$56:$U$84,MATCH('RFPR cover'!$C$7,Data!$B$56:$B$84,0),MATCH('R7 - RAV'!H$6,Data!$O$55:$U$55,0))</f>
        <v>4.909683911111111E-2</v>
      </c>
      <c r="I35" s="683">
        <f>INDEX(Data!$O$56:$U$84,MATCH('RFPR cover'!$C$7,Data!$B$56:$B$84,0),MATCH('R7 - RAV'!I$6,Data!$O$55:$U$55,0))</f>
        <v>4.8823256888888882E-2</v>
      </c>
      <c r="J35" s="683">
        <f>INDEX(Data!$O$56:$U$84,MATCH('RFPR cover'!$C$7,Data!$B$56:$B$84,0),MATCH('R7 - RAV'!J$6,Data!$O$55:$U$55,0))</f>
        <v>4.9129010666666667E-2</v>
      </c>
      <c r="K35" s="650"/>
      <c r="L35" s="479"/>
      <c r="M35" s="650"/>
      <c r="N35" s="650"/>
    </row>
    <row r="36" spans="1:14">
      <c r="A36" s="341"/>
      <c r="B36" s="401" t="s">
        <v>666</v>
      </c>
      <c r="C36" s="401"/>
      <c r="D36" s="401"/>
      <c r="E36" s="650" t="s">
        <v>383</v>
      </c>
      <c r="F36" s="684">
        <f t="shared" ref="F36:J36" si="6">Notional_Gearing</f>
        <v>0.55000000000000004</v>
      </c>
      <c r="G36" s="684">
        <f t="shared" si="6"/>
        <v>0.55000000000000004</v>
      </c>
      <c r="H36" s="684">
        <f t="shared" si="6"/>
        <v>0.55000000000000004</v>
      </c>
      <c r="I36" s="684">
        <f t="shared" si="6"/>
        <v>0.55000000000000004</v>
      </c>
      <c r="J36" s="684">
        <f t="shared" si="6"/>
        <v>0.55000000000000004</v>
      </c>
      <c r="K36" s="650"/>
      <c r="L36" s="479"/>
      <c r="M36" s="650"/>
      <c r="N36" s="650"/>
    </row>
    <row r="37" spans="1:14">
      <c r="B37" s="104" t="s">
        <v>667</v>
      </c>
      <c r="E37" s="650" t="s">
        <v>664</v>
      </c>
      <c r="F37" s="685">
        <f t="shared" ref="F37:J37" si="7">F34*F36+F35*(1-F36)</f>
        <v>3.0372752400000001E-2</v>
      </c>
      <c r="G37" s="686">
        <f t="shared" si="7"/>
        <v>2.9627241999999998E-2</v>
      </c>
      <c r="H37" s="686">
        <f t="shared" si="7"/>
        <v>3.2653577599999997E-2</v>
      </c>
      <c r="I37" s="686">
        <f t="shared" si="7"/>
        <v>3.3300465599999995E-2</v>
      </c>
      <c r="J37" s="686">
        <f t="shared" si="7"/>
        <v>3.4208054799999998E-2</v>
      </c>
      <c r="K37" s="650"/>
      <c r="L37" s="479"/>
      <c r="M37" s="650"/>
      <c r="N37" s="650"/>
    </row>
    <row r="38" spans="1:14" s="341" customFormat="1">
      <c r="A38" s="104"/>
      <c r="B38" s="104"/>
      <c r="C38" s="104"/>
      <c r="D38" s="104"/>
      <c r="E38" s="666"/>
      <c r="F38" s="667"/>
      <c r="G38" s="667"/>
      <c r="H38" s="667"/>
      <c r="I38" s="667"/>
      <c r="J38" s="667"/>
      <c r="K38" s="650"/>
      <c r="L38" s="479"/>
      <c r="M38" s="650"/>
      <c r="N38" s="650"/>
    </row>
    <row r="39" spans="1:14" s="341" customFormat="1">
      <c r="A39" s="104"/>
      <c r="B39" s="80" t="s">
        <v>668</v>
      </c>
      <c r="C39" s="80"/>
      <c r="D39" s="80"/>
      <c r="E39" s="650" t="str">
        <f>Data!$C$9</f>
        <v>£m 18/19</v>
      </c>
      <c r="F39" s="18">
        <f>F41*F36</f>
        <v>1316.6418534361123</v>
      </c>
      <c r="G39" s="19">
        <f t="shared" ref="G39:J39" si="8">G41*G36</f>
        <v>1330.1679419318341</v>
      </c>
      <c r="H39" s="19">
        <f t="shared" si="8"/>
        <v>1411.1060384294844</v>
      </c>
      <c r="I39" s="19">
        <f t="shared" si="8"/>
        <v>1575.5101686128314</v>
      </c>
      <c r="J39" s="19">
        <f t="shared" si="8"/>
        <v>1800.2738722349088</v>
      </c>
      <c r="K39" s="650"/>
      <c r="L39" s="479"/>
      <c r="M39" s="650"/>
      <c r="N39" s="650"/>
    </row>
    <row r="40" spans="1:14" s="341" customFormat="1">
      <c r="A40" s="104"/>
      <c r="B40" s="80" t="s">
        <v>669</v>
      </c>
      <c r="C40" s="80"/>
      <c r="D40" s="80"/>
      <c r="E40" s="650" t="str">
        <f>Data!$C$9</f>
        <v>£m 18/19</v>
      </c>
      <c r="F40" s="66">
        <f>F41*(1-F36)</f>
        <v>1077.252425538637</v>
      </c>
      <c r="G40" s="67">
        <f t="shared" ref="G40:J40" si="9">G41*(1-G36)</f>
        <v>1088.3192252169549</v>
      </c>
      <c r="H40" s="67">
        <f t="shared" si="9"/>
        <v>1154.5413041695781</v>
      </c>
      <c r="I40" s="67">
        <f t="shared" si="9"/>
        <v>1289.0537743195891</v>
      </c>
      <c r="J40" s="67">
        <f t="shared" si="9"/>
        <v>1472.9513500103797</v>
      </c>
      <c r="K40" s="650"/>
      <c r="L40" s="479"/>
      <c r="M40" s="650"/>
      <c r="N40" s="650"/>
    </row>
    <row r="41" spans="1:14" s="341" customFormat="1">
      <c r="A41" s="104"/>
      <c r="B41" s="104" t="s">
        <v>670</v>
      </c>
      <c r="C41" s="104"/>
      <c r="D41" s="104"/>
      <c r="E41" s="650" t="str">
        <f>Data!$C$9</f>
        <v>£m 18/19</v>
      </c>
      <c r="F41" s="21">
        <f>AVERAGE(F17,F24*(1/(1+F37)))</f>
        <v>2393.8942789747493</v>
      </c>
      <c r="G41" s="21">
        <f t="shared" ref="G41:J41" si="10">AVERAGE(G17,G24*(1/(1+G37)))</f>
        <v>2418.487167148789</v>
      </c>
      <c r="H41" s="21">
        <f t="shared" si="10"/>
        <v>2565.6473425990625</v>
      </c>
      <c r="I41" s="21">
        <f t="shared" si="10"/>
        <v>2864.5639429324206</v>
      </c>
      <c r="J41" s="21">
        <f t="shared" si="10"/>
        <v>3273.2252222452885</v>
      </c>
      <c r="K41" s="650"/>
      <c r="L41" s="479"/>
      <c r="M41" s="650"/>
      <c r="N41" s="650"/>
    </row>
    <row r="42" spans="1:14" s="341" customFormat="1">
      <c r="A42" s="104"/>
      <c r="B42" s="104"/>
      <c r="C42" s="104"/>
      <c r="D42" s="104"/>
      <c r="E42" s="650"/>
      <c r="F42" s="650"/>
      <c r="G42" s="650"/>
      <c r="H42" s="650"/>
      <c r="I42" s="650"/>
      <c r="J42" s="650"/>
      <c r="K42" s="650"/>
      <c r="L42" s="479"/>
      <c r="M42" s="650"/>
      <c r="N42" s="650"/>
    </row>
    <row r="43" spans="1:14" s="341" customFormat="1">
      <c r="A43" s="104"/>
      <c r="B43" s="80" t="s">
        <v>671</v>
      </c>
      <c r="C43" s="80"/>
      <c r="D43" s="80"/>
      <c r="E43" s="650" t="str">
        <f>Data!$C$9</f>
        <v>£m 18/19</v>
      </c>
      <c r="F43" s="153">
        <f>F34*F39</f>
        <v>26.991157995440304</v>
      </c>
      <c r="G43" s="154">
        <f t="shared" ref="G43:J44" si="11">G34*G39</f>
        <v>25.273190896704847</v>
      </c>
      <c r="H43" s="154">
        <f t="shared" si="11"/>
        <v>27.093235937846099</v>
      </c>
      <c r="I43" s="154">
        <f t="shared" si="11"/>
        <v>32.455509473424328</v>
      </c>
      <c r="J43" s="154">
        <f t="shared" si="11"/>
        <v>39.606025189167994</v>
      </c>
      <c r="K43" s="650"/>
      <c r="L43" s="479"/>
      <c r="M43" s="650"/>
      <c r="N43" s="650"/>
    </row>
    <row r="44" spans="1:14">
      <c r="B44" s="80" t="s">
        <v>672</v>
      </c>
      <c r="C44" s="80"/>
      <c r="D44" s="80"/>
      <c r="E44" s="650" t="str">
        <f>Data!$C$9</f>
        <v>£m 18/19</v>
      </c>
      <c r="F44" s="15">
        <f>F35*F40</f>
        <v>45.718000211636287</v>
      </c>
      <c r="G44" s="16">
        <f t="shared" si="11"/>
        <v>46.379913678306771</v>
      </c>
      <c r="H44" s="16">
        <f t="shared" si="11"/>
        <v>56.684328657946168</v>
      </c>
      <c r="I44" s="16">
        <f t="shared" si="11"/>
        <v>62.935803567197091</v>
      </c>
      <c r="J44" s="16">
        <f t="shared" si="11"/>
        <v>72.364642586141017</v>
      </c>
      <c r="K44" s="650"/>
      <c r="L44" s="479"/>
      <c r="M44" s="650"/>
      <c r="N44" s="650"/>
    </row>
    <row r="45" spans="1:14">
      <c r="B45" s="104" t="s">
        <v>673</v>
      </c>
      <c r="E45" s="650" t="str">
        <f>Data!$C$9</f>
        <v>£m 18/19</v>
      </c>
      <c r="F45" s="21">
        <f>SUM(F43:F44)</f>
        <v>72.709158207076598</v>
      </c>
      <c r="G45" s="22">
        <f t="shared" ref="G45:J45" si="12">SUM(G43:G44)</f>
        <v>71.653104575011611</v>
      </c>
      <c r="H45" s="22">
        <f t="shared" si="12"/>
        <v>83.777564595792271</v>
      </c>
      <c r="I45" s="22">
        <f t="shared" si="12"/>
        <v>95.391313040621412</v>
      </c>
      <c r="J45" s="22">
        <f t="shared" si="12"/>
        <v>111.97066777530901</v>
      </c>
      <c r="K45" s="650"/>
      <c r="L45" s="479"/>
      <c r="M45" s="650"/>
      <c r="N45" s="650"/>
    </row>
    <row r="46" spans="1:14">
      <c r="K46" s="650"/>
      <c r="L46" s="479"/>
      <c r="M46" s="650"/>
      <c r="N46" s="650"/>
    </row>
    <row r="47" spans="1:14">
      <c r="B47" s="80"/>
      <c r="C47" s="80"/>
      <c r="D47" s="80"/>
      <c r="E47" s="29"/>
      <c r="F47" s="586"/>
      <c r="G47" s="586"/>
      <c r="H47" s="586"/>
      <c r="I47" s="586"/>
      <c r="J47" s="586"/>
      <c r="K47" s="650"/>
      <c r="L47" s="479"/>
      <c r="M47" s="650"/>
      <c r="N47" s="650"/>
    </row>
    <row r="48" spans="1:14">
      <c r="B48" s="80"/>
      <c r="C48" s="80"/>
      <c r="D48" s="80"/>
      <c r="E48" s="29"/>
      <c r="F48" s="586"/>
      <c r="G48" s="586"/>
      <c r="H48" s="586"/>
      <c r="I48" s="586"/>
      <c r="J48" s="586"/>
      <c r="K48" s="650"/>
      <c r="L48" s="479"/>
      <c r="M48" s="650"/>
      <c r="N48" s="650"/>
    </row>
    <row r="49" spans="2:14">
      <c r="E49" s="29"/>
      <c r="F49" s="668"/>
      <c r="G49" s="668"/>
      <c r="H49" s="668"/>
      <c r="I49" s="668"/>
      <c r="J49" s="668"/>
      <c r="K49" s="650"/>
      <c r="L49" s="479"/>
      <c r="M49" s="650"/>
      <c r="N49" s="650"/>
    </row>
    <row r="50" spans="2:14">
      <c r="E50" s="650"/>
      <c r="F50" s="650"/>
      <c r="G50" s="650"/>
      <c r="H50" s="650"/>
      <c r="I50" s="650"/>
      <c r="J50" s="650"/>
      <c r="K50" s="650"/>
      <c r="L50" s="479"/>
      <c r="M50" s="650"/>
      <c r="N50" s="650"/>
    </row>
    <row r="54" spans="2:14">
      <c r="E54" s="104"/>
      <c r="M54" s="104"/>
    </row>
    <row r="55" spans="2:14">
      <c r="E55" s="104"/>
      <c r="M55" s="104"/>
    </row>
    <row r="56" spans="2:14">
      <c r="B56" s="80"/>
      <c r="C56" s="80"/>
      <c r="D56" s="80"/>
      <c r="E56" s="29"/>
      <c r="F56" s="586"/>
      <c r="G56" s="586"/>
      <c r="H56" s="586"/>
      <c r="I56" s="586"/>
      <c r="J56" s="586"/>
      <c r="K56" s="441"/>
    </row>
    <row r="57" spans="2:14">
      <c r="B57" s="80"/>
      <c r="C57" s="80"/>
      <c r="D57" s="80"/>
      <c r="E57" s="29"/>
      <c r="F57" s="668"/>
      <c r="G57" s="668"/>
      <c r="H57" s="668"/>
      <c r="I57" s="668"/>
      <c r="J57" s="668"/>
    </row>
    <row r="58" spans="2:14">
      <c r="E58" s="29"/>
      <c r="F58" s="586"/>
      <c r="G58" s="586"/>
      <c r="H58" s="586"/>
      <c r="I58" s="586"/>
      <c r="J58" s="586"/>
    </row>
    <row r="59" spans="2:14">
      <c r="B59" s="441"/>
      <c r="C59" s="441"/>
      <c r="D59" s="441"/>
      <c r="E59" s="40"/>
      <c r="F59" s="40"/>
      <c r="G59" s="40"/>
      <c r="H59" s="40"/>
      <c r="I59" s="40"/>
      <c r="J59" s="40"/>
    </row>
    <row r="60" spans="2:14">
      <c r="B60" s="441"/>
      <c r="C60" s="441"/>
      <c r="D60" s="441"/>
      <c r="E60" s="40"/>
      <c r="F60" s="40"/>
      <c r="G60" s="40"/>
      <c r="H60" s="40"/>
      <c r="I60" s="40"/>
      <c r="J60" s="40"/>
    </row>
    <row r="61" spans="2:14">
      <c r="B61" s="441"/>
      <c r="C61" s="441"/>
      <c r="D61" s="441"/>
      <c r="E61" s="40"/>
      <c r="F61" s="40"/>
      <c r="G61" s="40"/>
      <c r="H61" s="40"/>
      <c r="I61" s="40"/>
      <c r="J61" s="40"/>
    </row>
    <row r="64" spans="2:14">
      <c r="B64" s="441"/>
      <c r="C64" s="441"/>
      <c r="D64" s="441"/>
      <c r="E64" s="40"/>
      <c r="F64" s="40"/>
      <c r="G64" s="40"/>
      <c r="H64" s="40"/>
      <c r="I64" s="40"/>
      <c r="J64" s="40"/>
    </row>
  </sheetData>
  <sheetProtection insertRows="0" sort="0" autoFilter="0" pivotTables="0"/>
  <conditionalFormatting sqref="F5:J5 F6:I6">
    <cfRule type="expression" dxfId="28" priority="15">
      <formula>AND(F$5="Actuals",G$5="Forecast")</formula>
    </cfRule>
  </conditionalFormatting>
  <conditionalFormatting sqref="F7:J7">
    <cfRule type="expression" dxfId="27" priority="1">
      <formula>AND(F$5="Actuals",G$5="Forecast")</formula>
    </cfRule>
  </conditionalFormatting>
  <conditionalFormatting sqref="J6">
    <cfRule type="expression" dxfId="26" priority="256">
      <formula>AND(J$5="Actuals",#REF!="Forecast")</formula>
    </cfRule>
  </conditionalFormatting>
  <pageMargins left="0.70866141732283472" right="0.70866141732283472" top="0.74803149606299213" bottom="0.74803149606299213" header="0.31496062992125984" footer="0.31496062992125984"/>
  <pageSetup paperSize="8" orientation="landscape" r:id="rId1"/>
  <headerFooter>
    <oddFooter>&amp;C&amp;"Calibri"&amp;11&amp;K000000_x000D_&amp;1#&amp;"Calibri"&amp;12&amp;K008000Internal Use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70"/>
  <sheetViews>
    <sheetView zoomScale="85" zoomScaleNormal="85" workbookViewId="0"/>
  </sheetViews>
  <sheetFormatPr defaultColWidth="9" defaultRowHeight="12.75"/>
  <cols>
    <col min="1" max="1" width="8.375" style="104" customWidth="1"/>
    <col min="2" max="2" width="54.75" style="104" customWidth="1"/>
    <col min="3" max="3" width="1.75" style="104" customWidth="1"/>
    <col min="4" max="4" width="14.125" style="104" customWidth="1"/>
    <col min="5" max="9" width="11.125" style="104" customWidth="1"/>
    <col min="10" max="10" width="7.75" style="104" customWidth="1"/>
    <col min="11" max="16384" width="9" style="104"/>
  </cols>
  <sheetData>
    <row r="1" spans="1:20" ht="20.25">
      <c r="A1" s="326" t="s">
        <v>260</v>
      </c>
      <c r="B1" s="328"/>
      <c r="C1" s="328"/>
      <c r="D1" s="329"/>
      <c r="E1" s="329"/>
      <c r="F1" s="329"/>
      <c r="G1" s="329"/>
      <c r="H1" s="329"/>
      <c r="I1" s="329"/>
      <c r="J1" s="468"/>
    </row>
    <row r="2" spans="1:20" ht="20.25">
      <c r="A2" s="331" t="str">
        <f>Licensee</f>
        <v>SPT</v>
      </c>
      <c r="B2" s="334"/>
      <c r="C2" s="334"/>
      <c r="D2" s="334"/>
      <c r="E2" s="334"/>
      <c r="F2" s="334"/>
      <c r="G2" s="334"/>
      <c r="H2" s="334"/>
      <c r="I2" s="334"/>
      <c r="J2" s="336"/>
    </row>
    <row r="3" spans="1:20" ht="20.25">
      <c r="A3" s="333">
        <f>Reporting_Year</f>
        <v>2023</v>
      </c>
      <c r="B3" s="337"/>
      <c r="C3" s="337"/>
      <c r="D3" s="337"/>
      <c r="E3" s="687"/>
      <c r="F3" s="687"/>
      <c r="G3" s="687"/>
      <c r="H3" s="687"/>
      <c r="I3" s="687"/>
      <c r="J3" s="339"/>
    </row>
    <row r="4" spans="1:20" ht="12.75" customHeight="1">
      <c r="A4" s="688"/>
      <c r="B4" s="689"/>
      <c r="C4" s="689"/>
      <c r="D4" s="688"/>
      <c r="E4" s="688"/>
      <c r="F4" s="688"/>
      <c r="G4" s="688"/>
      <c r="H4" s="688"/>
      <c r="I4" s="688"/>
      <c r="J4" s="688"/>
      <c r="K4" s="689"/>
    </row>
    <row r="5" spans="1:20" s="341" customFormat="1">
      <c r="B5" s="492"/>
      <c r="C5" s="492"/>
      <c r="D5" s="492"/>
      <c r="E5" s="340" t="str">
        <f>IF(E6+1&lt;=Reporting_Year,"Actuals","Forecast")</f>
        <v>Actuals</v>
      </c>
      <c r="F5" s="340" t="str">
        <f>IF(F6+1&lt;=Reporting_Year,"Actuals","Forecast")</f>
        <v>Forecast</v>
      </c>
      <c r="G5" s="340" t="str">
        <f>IF(G6+1&lt;=Reporting_Year,"Actuals","Forecast")</f>
        <v>Forecast</v>
      </c>
      <c r="H5" s="340" t="str">
        <f>IF(H6+1&lt;=Reporting_Year,"Actuals","Forecast")</f>
        <v>Forecast</v>
      </c>
      <c r="I5" s="340" t="str">
        <f>IF(I6+1&lt;=Reporting_Year,"Actuals","Forecast")</f>
        <v>Forecast</v>
      </c>
    </row>
    <row r="6" spans="1:20" s="341" customFormat="1">
      <c r="E6" s="469">
        <f>'RFPR cover'!$C$6</f>
        <v>2022</v>
      </c>
      <c r="F6" s="470">
        <f>E6+1</f>
        <v>2023</v>
      </c>
      <c r="G6" s="470">
        <f t="shared" ref="G6:I6" si="0">F6+1</f>
        <v>2024</v>
      </c>
      <c r="H6" s="470">
        <f t="shared" si="0"/>
        <v>2025</v>
      </c>
      <c r="I6" s="470">
        <f t="shared" si="0"/>
        <v>2026</v>
      </c>
    </row>
    <row r="7" spans="1:20" s="341" customFormat="1">
      <c r="E7" s="469" t="str">
        <f>RIIO_2_start_date-1&amp;"/"&amp;RIGHT(RIIO_2_start_date,2)</f>
        <v>2021/22</v>
      </c>
      <c r="F7" s="469" t="str">
        <f>RIIO_2_start_date&amp;"/"&amp;RIGHT(RIIO_2_start_date+1,2)</f>
        <v>2022/23</v>
      </c>
      <c r="G7" s="469" t="str">
        <f>RIIO_2_start_date+1&amp;"/"&amp;RIGHT(RIIO_2_start_date+2,2)</f>
        <v>2023/24</v>
      </c>
      <c r="H7" s="469" t="str">
        <f>RIIO_2_start_date+2&amp;"/"&amp;RIGHT(RIIO_2_start_date+3,2)</f>
        <v>2024/25</v>
      </c>
      <c r="I7" s="575" t="str">
        <f>RIIO_2_start_date+3&amp;"/"&amp;RIGHT(RIIO_2_start_date+4,2)</f>
        <v>2025/26</v>
      </c>
    </row>
    <row r="8" spans="1:20" s="341" customFormat="1">
      <c r="B8" s="690" t="s">
        <v>674</v>
      </c>
      <c r="C8" s="594"/>
      <c r="D8" s="595"/>
      <c r="E8" s="595"/>
      <c r="F8" s="595"/>
      <c r="G8" s="595"/>
      <c r="H8" s="595"/>
      <c r="I8" s="595"/>
    </row>
    <row r="9" spans="1:20" s="341" customFormat="1" ht="34.5" customHeight="1">
      <c r="B9" s="800" t="s">
        <v>675</v>
      </c>
      <c r="C9" s="800"/>
      <c r="D9" s="800"/>
      <c r="E9" s="800"/>
      <c r="F9" s="800"/>
      <c r="G9" s="800"/>
      <c r="H9" s="800"/>
      <c r="I9" s="800"/>
    </row>
    <row r="10" spans="1:20" s="341" customFormat="1">
      <c r="B10" s="649"/>
      <c r="C10" s="649"/>
    </row>
    <row r="11" spans="1:20" s="341" customFormat="1" ht="34.5" customHeight="1">
      <c r="B11" s="691" t="s">
        <v>676</v>
      </c>
      <c r="C11" s="441"/>
      <c r="D11" s="29" t="s">
        <v>419</v>
      </c>
      <c r="E11" s="692">
        <v>23.201119968808719</v>
      </c>
      <c r="F11" s="692"/>
      <c r="G11" s="692"/>
      <c r="H11" s="692"/>
      <c r="I11" s="692"/>
      <c r="J11" s="104" t="s">
        <v>677</v>
      </c>
    </row>
    <row r="12" spans="1:20" s="341" customFormat="1">
      <c r="B12" s="441"/>
      <c r="C12" s="441"/>
      <c r="D12" s="441"/>
      <c r="E12" s="441"/>
      <c r="F12" s="441"/>
      <c r="G12" s="441"/>
      <c r="H12" s="441"/>
      <c r="I12" s="441"/>
      <c r="J12" s="441"/>
      <c r="K12" s="441"/>
      <c r="L12" s="441"/>
      <c r="M12" s="441"/>
      <c r="N12" s="441"/>
      <c r="O12" s="441"/>
      <c r="P12" s="441"/>
      <c r="Q12" s="441"/>
      <c r="R12" s="441"/>
      <c r="S12" s="441"/>
      <c r="T12" s="441"/>
    </row>
    <row r="13" spans="1:20" s="341" customFormat="1">
      <c r="B13" s="441"/>
      <c r="C13" s="441"/>
      <c r="D13" s="441"/>
      <c r="E13" s="441"/>
      <c r="F13" s="441"/>
      <c r="G13" s="441"/>
      <c r="H13" s="441"/>
      <c r="I13" s="441"/>
      <c r="J13" s="441"/>
      <c r="K13" s="441"/>
      <c r="L13" s="441"/>
      <c r="M13" s="441"/>
      <c r="N13" s="441"/>
      <c r="O13" s="441"/>
      <c r="P13" s="441"/>
      <c r="Q13" s="441"/>
      <c r="R13" s="441"/>
      <c r="S13" s="441"/>
      <c r="T13" s="441"/>
    </row>
    <row r="14" spans="1:20" s="341" customFormat="1">
      <c r="B14" s="693"/>
      <c r="C14" s="441"/>
      <c r="D14" s="29"/>
      <c r="E14" s="694"/>
      <c r="F14" s="694"/>
      <c r="G14" s="694"/>
      <c r="H14" s="694"/>
      <c r="I14" s="694"/>
      <c r="J14" s="104"/>
    </row>
    <row r="15" spans="1:20">
      <c r="B15" s="441" t="s">
        <v>678</v>
      </c>
      <c r="C15" s="441"/>
      <c r="D15" s="29"/>
      <c r="E15" s="29"/>
      <c r="F15" s="29"/>
      <c r="G15" s="29"/>
      <c r="H15" s="29"/>
      <c r="I15" s="29"/>
      <c r="M15" s="341"/>
      <c r="N15" s="341"/>
    </row>
    <row r="16" spans="1:20">
      <c r="B16" s="579" t="s">
        <v>679</v>
      </c>
      <c r="C16" s="579"/>
      <c r="D16" s="29" t="s">
        <v>419</v>
      </c>
      <c r="E16" s="692">
        <v>0.74099999999999999</v>
      </c>
      <c r="F16" s="692"/>
      <c r="G16" s="692"/>
      <c r="H16" s="692"/>
      <c r="I16" s="692"/>
      <c r="M16" s="341"/>
      <c r="N16" s="341"/>
    </row>
    <row r="17" spans="2:38">
      <c r="B17" s="579" t="s">
        <v>680</v>
      </c>
      <c r="C17" s="579"/>
      <c r="D17" s="29" t="s">
        <v>419</v>
      </c>
      <c r="E17" s="692">
        <v>0</v>
      </c>
      <c r="F17" s="692"/>
      <c r="G17" s="692"/>
      <c r="H17" s="692"/>
      <c r="I17" s="692"/>
      <c r="M17" s="341"/>
      <c r="N17" s="341"/>
    </row>
    <row r="18" spans="2:38">
      <c r="B18" s="579" t="s">
        <v>681</v>
      </c>
      <c r="C18" s="579"/>
      <c r="D18" s="29" t="s">
        <v>419</v>
      </c>
      <c r="E18" s="692">
        <v>0</v>
      </c>
      <c r="F18" s="692"/>
      <c r="G18" s="692"/>
      <c r="H18" s="692"/>
      <c r="I18" s="692"/>
      <c r="M18" s="341"/>
      <c r="N18" s="341"/>
    </row>
    <row r="19" spans="2:38">
      <c r="B19" s="579" t="s">
        <v>682</v>
      </c>
      <c r="C19" s="579"/>
      <c r="D19" s="29" t="s">
        <v>419</v>
      </c>
      <c r="E19" s="692">
        <v>-1.4176796840865262</v>
      </c>
      <c r="F19" s="692"/>
      <c r="G19" s="692"/>
      <c r="H19" s="692"/>
      <c r="I19" s="692"/>
      <c r="M19" s="341"/>
      <c r="N19" s="341"/>
    </row>
    <row r="20" spans="2:38">
      <c r="B20" s="695" t="s">
        <v>683</v>
      </c>
      <c r="C20" s="695"/>
      <c r="D20" s="29" t="s">
        <v>419</v>
      </c>
      <c r="E20" s="567">
        <f>SUM(E16:E19)</f>
        <v>-0.67667968408652623</v>
      </c>
      <c r="F20" s="524">
        <f t="shared" ref="F20:I20" si="1">SUM(F16:F19)</f>
        <v>0</v>
      </c>
      <c r="G20" s="524">
        <f t="shared" si="1"/>
        <v>0</v>
      </c>
      <c r="H20" s="524">
        <f t="shared" si="1"/>
        <v>0</v>
      </c>
      <c r="I20" s="524">
        <f t="shared" si="1"/>
        <v>0</v>
      </c>
      <c r="M20" s="341"/>
      <c r="N20" s="341"/>
    </row>
    <row r="21" spans="2:38">
      <c r="B21" s="579"/>
      <c r="C21" s="579"/>
      <c r="D21" s="579"/>
      <c r="E21" s="696"/>
      <c r="F21" s="696"/>
      <c r="G21" s="696"/>
      <c r="H21" s="696"/>
      <c r="I21" s="696"/>
    </row>
    <row r="22" spans="2:38">
      <c r="B22" s="441" t="s">
        <v>582</v>
      </c>
      <c r="C22" s="441"/>
      <c r="D22" s="29"/>
      <c r="E22" s="29"/>
      <c r="F22" s="266"/>
      <c r="G22" s="266"/>
      <c r="H22" s="266"/>
      <c r="I22" s="266"/>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79"/>
      <c r="AL22" s="579"/>
    </row>
    <row r="23" spans="2:38">
      <c r="B23" s="579" t="s">
        <v>684</v>
      </c>
      <c r="C23" s="697"/>
      <c r="D23" s="29" t="s">
        <v>419</v>
      </c>
      <c r="E23" s="702">
        <f>IF(E5="Actuals",('R4 - Incentives and Other Rev'!D67+'R4 - Incentives and Other Rev'!D41+'R4 - Incentives and Other Rev'!D48+'R4 - Incentives and Other Rev'!D55)/(1-INDEX(Corporate_Tax,MATCH(E$6,Data!$C$16:$N$16,0)))*INDEX(Corporate_Tax,MATCH(E$6,Data!$C$16:$N$16,0)),0)*E38</f>
        <v>3.4738111592063803E-2</v>
      </c>
      <c r="F23" s="702">
        <f>IF(F5="Actuals",('R4 - Incentives and Other Rev'!E67+'R4 - Incentives and Other Rev'!E41+'R4 - Incentives and Other Rev'!E48+'R4 - Incentives and Other Rev'!E55)/(1-INDEX(Corporate_Tax,MATCH(F$6,Data!$C$16:$N$16,0)))*INDEX(Corporate_Tax,MATCH(F$6,Data!$C$16:$N$16,0)),0)*F38</f>
        <v>0</v>
      </c>
      <c r="G23" s="702">
        <f>IF(G5="Actuals",('R4 - Incentives and Other Rev'!F67+'R4 - Incentives and Other Rev'!F41+'R4 - Incentives and Other Rev'!F48+'R4 - Incentives and Other Rev'!F55)/(1-INDEX(Corporate_Tax,MATCH(G$6,Data!$C$16:$N$16,0)))*INDEX(Corporate_Tax,MATCH(G$6,Data!$C$16:$N$16,0)),0)*G38</f>
        <v>0</v>
      </c>
      <c r="H23" s="702">
        <f>IF(H5="Actuals",('R4 - Incentives and Other Rev'!G67+'R4 - Incentives and Other Rev'!G41+'R4 - Incentives and Other Rev'!G48+'R4 - Incentives and Other Rev'!G55)/(1-INDEX(Corporate_Tax,MATCH(H$6,Data!$C$16:$N$16,0)))*INDEX(Corporate_Tax,MATCH(H$6,Data!$C$16:$N$16,0)),0)*H38</f>
        <v>0</v>
      </c>
      <c r="I23" s="702">
        <f>IF(I5="Actuals",('R4 - Incentives and Other Rev'!H67+'R4 - Incentives and Other Rev'!H41+'R4 - Incentives and Other Rev'!H48+'R4 - Incentives and Other Rev'!H55)/(1-INDEX(Corporate_Tax,MATCH(I$6,Data!$C$16:$N$16,0)))*INDEX(Corporate_Tax,MATCH(I$6,Data!$C$16:$N$16,0)),0)*I38</f>
        <v>0</v>
      </c>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79"/>
      <c r="AL23" s="579"/>
    </row>
    <row r="24" spans="2:38">
      <c r="B24" s="579" t="s">
        <v>685</v>
      </c>
      <c r="C24" s="579"/>
      <c r="D24" s="29" t="s">
        <v>419</v>
      </c>
      <c r="E24" s="692">
        <v>1.1134823907388738</v>
      </c>
      <c r="F24" s="692"/>
      <c r="G24" s="692"/>
      <c r="H24" s="692"/>
      <c r="I24" s="692"/>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79"/>
      <c r="AL24" s="579"/>
    </row>
    <row r="25" spans="2:38">
      <c r="B25" s="579" t="s">
        <v>686</v>
      </c>
      <c r="C25" s="579"/>
      <c r="D25" s="29" t="s">
        <v>419</v>
      </c>
      <c r="E25" s="692">
        <v>0</v>
      </c>
      <c r="F25" s="692"/>
      <c r="G25" s="692"/>
      <c r="H25" s="692"/>
      <c r="I25" s="692"/>
    </row>
    <row r="26" spans="2:38">
      <c r="B26" s="579" t="s">
        <v>687</v>
      </c>
      <c r="C26" s="579"/>
      <c r="D26" s="29" t="s">
        <v>419</v>
      </c>
      <c r="E26" s="692">
        <v>0</v>
      </c>
      <c r="F26" s="692"/>
      <c r="G26" s="692"/>
      <c r="H26" s="692"/>
      <c r="I26" s="692"/>
    </row>
    <row r="27" spans="2:38">
      <c r="B27" s="579" t="s">
        <v>688</v>
      </c>
      <c r="C27" s="579"/>
      <c r="D27" s="29" t="s">
        <v>419</v>
      </c>
      <c r="E27" s="692">
        <v>0</v>
      </c>
      <c r="F27" s="692"/>
      <c r="G27" s="692"/>
      <c r="H27" s="692"/>
      <c r="I27" s="692"/>
    </row>
    <row r="28" spans="2:38">
      <c r="B28" s="579" t="s">
        <v>689</v>
      </c>
      <c r="C28" s="579"/>
      <c r="D28" s="29" t="s">
        <v>419</v>
      </c>
      <c r="E28" s="692">
        <v>0</v>
      </c>
      <c r="F28" s="692"/>
      <c r="G28" s="692"/>
      <c r="H28" s="692"/>
      <c r="I28" s="692"/>
    </row>
    <row r="29" spans="2:38">
      <c r="B29" s="579" t="s">
        <v>689</v>
      </c>
      <c r="C29" s="579"/>
      <c r="D29" s="29" t="s">
        <v>419</v>
      </c>
      <c r="E29" s="692">
        <v>0</v>
      </c>
      <c r="F29" s="692"/>
      <c r="G29" s="692"/>
      <c r="H29" s="692"/>
      <c r="I29" s="692"/>
    </row>
    <row r="30" spans="2:38">
      <c r="B30" s="579" t="s">
        <v>689</v>
      </c>
      <c r="C30" s="579"/>
      <c r="D30" s="29" t="s">
        <v>419</v>
      </c>
      <c r="E30" s="692">
        <v>0</v>
      </c>
      <c r="F30" s="692"/>
      <c r="G30" s="692"/>
      <c r="H30" s="692"/>
      <c r="I30" s="692"/>
    </row>
    <row r="31" spans="2:38">
      <c r="B31" s="579" t="s">
        <v>689</v>
      </c>
      <c r="C31" s="579"/>
      <c r="D31" s="29" t="s">
        <v>419</v>
      </c>
      <c r="E31" s="692">
        <v>0</v>
      </c>
      <c r="F31" s="692"/>
      <c r="G31" s="692"/>
      <c r="H31" s="692"/>
      <c r="I31" s="692"/>
    </row>
    <row r="32" spans="2:38">
      <c r="B32" s="579" t="s">
        <v>690</v>
      </c>
      <c r="C32" s="579"/>
      <c r="D32" s="29" t="s">
        <v>419</v>
      </c>
      <c r="E32" s="692">
        <v>0</v>
      </c>
      <c r="F32" s="692"/>
      <c r="G32" s="692"/>
      <c r="H32" s="692"/>
      <c r="I32" s="692"/>
    </row>
    <row r="33" spans="2:11">
      <c r="B33" s="441" t="s">
        <v>431</v>
      </c>
      <c r="C33" s="441"/>
      <c r="D33" s="29" t="s">
        <v>419</v>
      </c>
      <c r="E33" s="702">
        <f>SUM(E23:E32)</f>
        <v>1.1482205023309375</v>
      </c>
      <c r="F33" s="703">
        <f>SUM(F23:F32)</f>
        <v>0</v>
      </c>
      <c r="G33" s="703">
        <f>SUM(G23:G32)</f>
        <v>0</v>
      </c>
      <c r="H33" s="703">
        <f>SUM(H23:H32)</f>
        <v>0</v>
      </c>
      <c r="I33" s="703">
        <f>SUM(I23:I32)</f>
        <v>0</v>
      </c>
    </row>
    <row r="35" spans="2:11" ht="25.5" customHeight="1">
      <c r="B35" s="617" t="s">
        <v>691</v>
      </c>
      <c r="D35" s="29" t="s">
        <v>419</v>
      </c>
      <c r="E35" s="692">
        <v>0</v>
      </c>
      <c r="F35" s="692">
        <v>16.211068030462624</v>
      </c>
      <c r="G35" s="692">
        <v>0</v>
      </c>
      <c r="H35" s="692">
        <v>0</v>
      </c>
      <c r="I35" s="692">
        <v>0</v>
      </c>
    </row>
    <row r="36" spans="2:11" ht="12.75" customHeight="1">
      <c r="B36" s="617" t="s">
        <v>692</v>
      </c>
      <c r="C36" s="617"/>
      <c r="D36" s="29" t="s">
        <v>419</v>
      </c>
      <c r="E36" s="702">
        <f>IF(ISNUMBER(E11),E11-E20-E33,E35-E20-E33)</f>
        <v>22.729579150564309</v>
      </c>
      <c r="F36" s="702">
        <f t="shared" ref="F36:I36" si="2">IF(ISNUMBER(F11),F11-F20-F33,F35-F20-F33)</f>
        <v>16.211068030462624</v>
      </c>
      <c r="G36" s="702">
        <f t="shared" si="2"/>
        <v>0</v>
      </c>
      <c r="H36" s="702">
        <f t="shared" si="2"/>
        <v>0</v>
      </c>
      <c r="I36" s="702">
        <f t="shared" si="2"/>
        <v>0</v>
      </c>
    </row>
    <row r="37" spans="2:11" ht="12.75" customHeight="1">
      <c r="B37" s="580"/>
      <c r="C37" s="580"/>
      <c r="D37" s="29"/>
      <c r="E37" s="694"/>
      <c r="F37" s="694"/>
      <c r="G37" s="694"/>
      <c r="H37" s="694"/>
      <c r="I37" s="694"/>
    </row>
    <row r="38" spans="2:11">
      <c r="B38" s="104" t="s">
        <v>561</v>
      </c>
      <c r="D38" s="135" t="s">
        <v>562</v>
      </c>
      <c r="E38" s="704">
        <f t="shared" ref="E38:I38" si="3">INDEX(real_to_nominal_CF,MATCH(E$6,calendar_year,0))</f>
        <v>1.0847835302284383</v>
      </c>
      <c r="F38" s="704">
        <f t="shared" si="3"/>
        <v>1.1799638149272795</v>
      </c>
      <c r="G38" s="704">
        <f t="shared" si="3"/>
        <v>1.243136825996721</v>
      </c>
      <c r="H38" s="704">
        <f t="shared" si="3"/>
        <v>1.2518012818164204</v>
      </c>
      <c r="I38" s="704">
        <f t="shared" si="3"/>
        <v>1.2549423724669737</v>
      </c>
    </row>
    <row r="39" spans="2:11">
      <c r="B39" s="580"/>
      <c r="C39" s="580"/>
      <c r="D39" s="29"/>
      <c r="E39" s="29"/>
      <c r="F39" s="29"/>
      <c r="G39" s="29"/>
      <c r="H39" s="29"/>
      <c r="I39" s="29"/>
    </row>
    <row r="40" spans="2:11">
      <c r="B40" s="617" t="s">
        <v>693</v>
      </c>
      <c r="C40" s="617"/>
      <c r="D40" s="650" t="str">
        <f>Data!$C$9</f>
        <v>£m 18/19</v>
      </c>
      <c r="E40" s="702">
        <f>Adjusted_regulated_tax_liability/E38</f>
        <v>20.953101256780528</v>
      </c>
      <c r="F40" s="702">
        <f>Adjusted_regulated_tax_liability/F38</f>
        <v>13.738614545109336</v>
      </c>
      <c r="G40" s="702">
        <f>Adjusted_regulated_tax_liability/G38</f>
        <v>0</v>
      </c>
      <c r="H40" s="702">
        <f>Adjusted_regulated_tax_liability/H38</f>
        <v>0</v>
      </c>
      <c r="I40" s="702">
        <f>Adjusted_regulated_tax_liability/I38</f>
        <v>0</v>
      </c>
    </row>
    <row r="41" spans="2:11">
      <c r="B41" s="617"/>
      <c r="C41" s="617"/>
      <c r="D41" s="617"/>
      <c r="E41" s="617"/>
      <c r="F41" s="617"/>
      <c r="G41" s="617"/>
      <c r="H41" s="617"/>
      <c r="I41" s="617"/>
    </row>
    <row r="42" spans="2:11">
      <c r="B42" s="593" t="s">
        <v>694</v>
      </c>
      <c r="C42" s="593"/>
      <c r="D42" s="650"/>
      <c r="E42" s="650"/>
      <c r="F42" s="650"/>
      <c r="G42" s="650"/>
      <c r="H42" s="650"/>
      <c r="I42" s="650"/>
    </row>
    <row r="43" spans="2:11">
      <c r="B43" s="594" t="s">
        <v>567</v>
      </c>
      <c r="C43" s="594"/>
      <c r="D43" s="617"/>
      <c r="E43" s="617"/>
      <c r="F43" s="617"/>
      <c r="G43" s="617"/>
      <c r="H43" s="617"/>
      <c r="I43" s="617"/>
      <c r="K43" s="617"/>
    </row>
    <row r="44" spans="2:11">
      <c r="K44" s="617"/>
    </row>
    <row r="45" spans="2:11" ht="12.75" customHeight="1">
      <c r="B45" s="80" t="s">
        <v>24</v>
      </c>
      <c r="C45" s="80"/>
      <c r="D45" s="480" t="s">
        <v>383</v>
      </c>
      <c r="E45" s="94">
        <f>Data!$C$8</f>
        <v>0.55000000000000004</v>
      </c>
      <c r="F45" s="95">
        <f>Data!$C$8</f>
        <v>0.55000000000000004</v>
      </c>
      <c r="G45" s="95">
        <f>Data!$C$8</f>
        <v>0.55000000000000004</v>
      </c>
      <c r="H45" s="95">
        <f>Data!$C$8</f>
        <v>0.55000000000000004</v>
      </c>
      <c r="I45" s="95">
        <f>Data!$C$8</f>
        <v>0.55000000000000004</v>
      </c>
      <c r="K45" s="617"/>
    </row>
    <row r="46" spans="2:11" ht="12.75" customHeight="1">
      <c r="B46" s="80" t="s">
        <v>568</v>
      </c>
      <c r="C46" s="80"/>
      <c r="D46" s="480" t="s">
        <v>383</v>
      </c>
      <c r="E46" s="95">
        <f>'R6 - Net Debt'!D68</f>
        <v>0.54350066861172353</v>
      </c>
      <c r="F46" s="95">
        <f>'R6 - Net Debt'!E68</f>
        <v>0.56889286603401068</v>
      </c>
      <c r="G46" s="95">
        <f>'R6 - Net Debt'!F68</f>
        <v>0.59882321526612647</v>
      </c>
      <c r="H46" s="95">
        <f>'R6 - Net Debt'!G68</f>
        <v>0.60106917980950514</v>
      </c>
      <c r="I46" s="95">
        <f>'R6 - Net Debt'!H68</f>
        <v>0.54981261637294054</v>
      </c>
      <c r="K46" s="617"/>
    </row>
    <row r="47" spans="2:11" ht="12.75" customHeight="1">
      <c r="B47" s="80"/>
      <c r="C47" s="80"/>
      <c r="D47" s="480"/>
      <c r="E47" s="480"/>
      <c r="F47" s="480"/>
      <c r="G47" s="480"/>
      <c r="H47" s="480"/>
      <c r="I47" s="480"/>
      <c r="K47" s="617"/>
    </row>
    <row r="48" spans="2:11" ht="12.75" customHeight="1">
      <c r="B48" s="617" t="s">
        <v>693</v>
      </c>
      <c r="C48" s="617"/>
      <c r="D48" s="29" t="s">
        <v>419</v>
      </c>
      <c r="E48" s="702">
        <f>E36</f>
        <v>22.729579150564309</v>
      </c>
      <c r="F48" s="702">
        <f>F36</f>
        <v>16.211068030462624</v>
      </c>
      <c r="G48" s="702">
        <f>G36</f>
        <v>0</v>
      </c>
      <c r="H48" s="702">
        <f>H36</f>
        <v>0</v>
      </c>
      <c r="I48" s="702">
        <f>I36</f>
        <v>0</v>
      </c>
      <c r="K48" s="617"/>
    </row>
    <row r="49" spans="2:11">
      <c r="B49" s="80" t="s">
        <v>695</v>
      </c>
      <c r="C49" s="80"/>
      <c r="D49" s="29" t="s">
        <v>419</v>
      </c>
      <c r="E49" s="702">
        <f>E66-E68</f>
        <v>8.0376014956261344E-2</v>
      </c>
      <c r="F49" s="702">
        <f t="shared" ref="F49:I49" si="4">F66-F68</f>
        <v>-0.59857326399719923</v>
      </c>
      <c r="G49" s="702">
        <f t="shared" si="4"/>
        <v>-0.25791697576062944</v>
      </c>
      <c r="H49" s="702">
        <f t="shared" si="4"/>
        <v>1.792476129581436</v>
      </c>
      <c r="I49" s="702">
        <f t="shared" si="4"/>
        <v>-7.8981219142946202E-3</v>
      </c>
      <c r="K49" s="617"/>
    </row>
    <row r="50" spans="2:11">
      <c r="B50" s="80" t="s">
        <v>696</v>
      </c>
      <c r="C50" s="80"/>
      <c r="D50" s="29" t="s">
        <v>419</v>
      </c>
      <c r="E50" s="702">
        <f>SUM(E48:E49)</f>
        <v>22.80995516552057</v>
      </c>
      <c r="F50" s="702">
        <f t="shared" ref="F50:I50" si="5">SUM(F48:F49)</f>
        <v>15.612494766465424</v>
      </c>
      <c r="G50" s="702">
        <f t="shared" si="5"/>
        <v>-0.25791697576062944</v>
      </c>
      <c r="H50" s="702">
        <f t="shared" si="5"/>
        <v>1.792476129581436</v>
      </c>
      <c r="I50" s="702">
        <f t="shared" si="5"/>
        <v>-7.8981219142946202E-3</v>
      </c>
    </row>
    <row r="52" spans="2:11">
      <c r="B52" s="80" t="s">
        <v>696</v>
      </c>
      <c r="C52" s="80"/>
      <c r="D52" s="650" t="str">
        <f>Data!$C$9</f>
        <v>£m 18/19</v>
      </c>
      <c r="E52" s="702">
        <f>E50/E38</f>
        <v>21.027195315840711</v>
      </c>
      <c r="F52" s="702">
        <f t="shared" ref="F52:I52" si="6">F50/F38</f>
        <v>13.231333511212471</v>
      </c>
      <c r="G52" s="702">
        <f>G50/G38</f>
        <v>-0.20747271769850195</v>
      </c>
      <c r="H52" s="702">
        <f t="shared" si="6"/>
        <v>1.4319174741381251</v>
      </c>
      <c r="I52" s="702">
        <f t="shared" si="6"/>
        <v>-6.2936132268515584E-3</v>
      </c>
    </row>
    <row r="54" spans="2:11">
      <c r="B54" s="698" t="s">
        <v>697</v>
      </c>
      <c r="C54" s="698"/>
      <c r="D54" s="699"/>
      <c r="E54" s="699"/>
      <c r="F54" s="699"/>
      <c r="G54" s="699"/>
      <c r="H54" s="699"/>
      <c r="I54" s="699"/>
      <c r="K54" s="617"/>
    </row>
    <row r="55" spans="2:11" ht="12.6" customHeight="1">
      <c r="D55" s="650"/>
      <c r="E55" s="700"/>
      <c r="F55" s="700"/>
      <c r="G55" s="700"/>
      <c r="H55" s="700"/>
      <c r="I55" s="700"/>
    </row>
    <row r="56" spans="2:11">
      <c r="B56" s="104" t="s">
        <v>698</v>
      </c>
      <c r="D56" s="650" t="str">
        <f>Data!$C$9</f>
        <v>£m 18/19</v>
      </c>
      <c r="E56" s="659">
        <v>19.957232232807485</v>
      </c>
      <c r="F56" s="659">
        <v>17.682481400765198</v>
      </c>
      <c r="G56" s="659">
        <v>1.1288688837653611</v>
      </c>
      <c r="H56" s="659">
        <v>1.087459568085857</v>
      </c>
      <c r="I56" s="659">
        <v>1.0132559350168751</v>
      </c>
    </row>
    <row r="57" spans="2:11">
      <c r="D57" s="650"/>
      <c r="E57" s="650"/>
      <c r="F57" s="650"/>
      <c r="G57" s="650"/>
      <c r="H57" s="650"/>
      <c r="I57" s="650"/>
    </row>
    <row r="58" spans="2:11">
      <c r="B58" s="603" t="s">
        <v>576</v>
      </c>
      <c r="C58" s="603"/>
      <c r="D58" s="603"/>
      <c r="E58" s="603"/>
      <c r="F58" s="603"/>
      <c r="G58" s="603"/>
      <c r="H58" s="603"/>
      <c r="I58" s="603"/>
    </row>
    <row r="60" spans="2:11">
      <c r="B60" s="441" t="s">
        <v>699</v>
      </c>
      <c r="C60" s="441"/>
      <c r="D60" s="701" t="str">
        <f>Data!$C$9</f>
        <v>£m 18/19</v>
      </c>
      <c r="E60" s="523">
        <f>E$56-E40</f>
        <v>-0.995869023973043</v>
      </c>
      <c r="F60" s="523">
        <f>F$56-F40</f>
        <v>3.9438668556558625</v>
      </c>
      <c r="G60" s="523">
        <f>G$56-G40</f>
        <v>1.1288688837653611</v>
      </c>
      <c r="H60" s="523">
        <f>H$56-H40</f>
        <v>1.087459568085857</v>
      </c>
      <c r="I60" s="523">
        <f>I$56-I40</f>
        <v>1.0132559350168751</v>
      </c>
    </row>
    <row r="61" spans="2:11">
      <c r="B61" s="441"/>
      <c r="C61" s="441"/>
      <c r="D61" s="441"/>
      <c r="E61" s="441"/>
      <c r="F61" s="441"/>
      <c r="G61" s="441"/>
      <c r="H61" s="441"/>
      <c r="I61" s="441"/>
    </row>
    <row r="62" spans="2:11">
      <c r="B62" s="441" t="s">
        <v>700</v>
      </c>
      <c r="C62" s="441"/>
      <c r="D62" s="701" t="str">
        <f>Data!$C$9</f>
        <v>£m 18/19</v>
      </c>
      <c r="E62" s="523">
        <f>E$56-E52</f>
        <v>-1.0699630830332261</v>
      </c>
      <c r="F62" s="523">
        <f>F$56-F52</f>
        <v>4.4511478895527272</v>
      </c>
      <c r="G62" s="523">
        <f>G$56-G52</f>
        <v>1.3363416014638632</v>
      </c>
      <c r="H62" s="523">
        <f>H$56-H52</f>
        <v>-0.34445790605226811</v>
      </c>
      <c r="I62" s="523">
        <f>I$56-I52</f>
        <v>1.0195495482437267</v>
      </c>
    </row>
    <row r="64" spans="2:11">
      <c r="B64" s="441" t="s">
        <v>701</v>
      </c>
      <c r="C64" s="441"/>
      <c r="D64" s="701" t="str">
        <f>Data!$C$9</f>
        <v>£m 18/19</v>
      </c>
      <c r="E64" s="523">
        <f>E60-E62</f>
        <v>7.4094059060183071E-2</v>
      </c>
      <c r="F64" s="566">
        <f>F60-F62</f>
        <v>-0.50728103389686474</v>
      </c>
      <c r="G64" s="566">
        <f>G60-G62</f>
        <v>-0.20747271769850206</v>
      </c>
      <c r="H64" s="566">
        <f>H60-H62</f>
        <v>1.4319174741381251</v>
      </c>
      <c r="I64" s="566">
        <f>I60-I62</f>
        <v>-6.2936132268516243E-3</v>
      </c>
    </row>
    <row r="66" spans="2:10">
      <c r="B66" s="104" t="s">
        <v>702</v>
      </c>
      <c r="D66" s="29" t="s">
        <v>419</v>
      </c>
      <c r="E66" s="705">
        <f>-('R5 - Financing'!D83*INDEX(Corporate_Tax,MATCH(E$6,Data!$C$16:$N$16,0))*'R8 - Tax'!E$38)</f>
        <v>-12.28448814935243</v>
      </c>
      <c r="F66" s="705">
        <f>-('R5 - Financing'!E83*INDEX(Corporate_Tax,MATCH(F$6,Data!$C$16:$N$16,0))*'R8 - Tax'!F$38)</f>
        <v>-23.690024950076499</v>
      </c>
      <c r="G66" s="705">
        <f>-('R5 - Financing'!F83*INDEX(Corporate_Tax,MATCH(G$6,Data!$C$16:$N$16,0))*'R8 - Tax'!G$38)</f>
        <v>-11.583535771992858</v>
      </c>
      <c r="H66" s="705">
        <f>-('R5 - Financing'!G83*INDEX(Corporate_Tax,MATCH(H$6,Data!$C$16:$N$16,0))*'R8 - Tax'!H$38)</f>
        <v>10.939953134481575</v>
      </c>
      <c r="I66" s="705">
        <f>-('R5 - Financing'!H83*INDEX(Corporate_Tax,MATCH(I$6,Data!$C$16:$N$16,0))*'R8 - Tax'!I$38)</f>
        <v>10.748494528203704</v>
      </c>
      <c r="J66" s="104" t="s">
        <v>703</v>
      </c>
    </row>
    <row r="67" spans="2:10">
      <c r="B67" s="104" t="s">
        <v>702</v>
      </c>
      <c r="D67" s="650" t="str">
        <f>Data!$C$9</f>
        <v>£m 18/19</v>
      </c>
      <c r="E67" s="702">
        <f>E66/E$38</f>
        <v>-11.324368232955667</v>
      </c>
      <c r="F67" s="702">
        <f t="shared" ref="F67:I67" si="7">F66/F$38</f>
        <v>-20.076907995298569</v>
      </c>
      <c r="G67" s="702">
        <f t="shared" si="7"/>
        <v>-9.3179894037049564</v>
      </c>
      <c r="H67" s="702">
        <f t="shared" si="7"/>
        <v>8.7393688546214037</v>
      </c>
      <c r="I67" s="702">
        <f t="shared" si="7"/>
        <v>8.5649307601864173</v>
      </c>
    </row>
    <row r="68" spans="2:10">
      <c r="B68" s="104" t="s">
        <v>704</v>
      </c>
      <c r="D68" s="29" t="s">
        <v>419</v>
      </c>
      <c r="E68" s="705">
        <f>-('R5 - Financing'!D85*INDEX(Corporate_Tax,MATCH(E$6,Data!$C$16:$N$16,0))*'R8 - Tax'!E$38)</f>
        <v>-12.364864164308692</v>
      </c>
      <c r="F68" s="705">
        <f>-('R5 - Financing'!E85*INDEX(Corporate_Tax,MATCH(F$6,Data!$C$16:$N$16,0))*'R8 - Tax'!F$38)</f>
        <v>-23.091451686079299</v>
      </c>
      <c r="G68" s="705">
        <f>-('R5 - Financing'!F85*INDEX(Corporate_Tax,MATCH(G$6,Data!$C$16:$N$16,0))*'R8 - Tax'!G$38)</f>
        <v>-11.325618796232229</v>
      </c>
      <c r="H68" s="705">
        <f>-('R5 - Financing'!G85*INDEX(Corporate_Tax,MATCH(H$6,Data!$C$16:$N$16,0))*'R8 - Tax'!H$38)</f>
        <v>9.1474770049001393</v>
      </c>
      <c r="I68" s="705">
        <f>-('R5 - Financing'!H85*INDEX(Corporate_Tax,MATCH(I$6,Data!$C$16:$N$16,0))*'R8 - Tax'!I$38)</f>
        <v>10.756392650117998</v>
      </c>
      <c r="J68" s="104" t="s">
        <v>703</v>
      </c>
    </row>
    <row r="69" spans="2:10">
      <c r="B69" s="104" t="s">
        <v>704</v>
      </c>
      <c r="D69" s="650" t="str">
        <f>Data!$C$9</f>
        <v>£m 18/19</v>
      </c>
      <c r="E69" s="702">
        <f>E68/E$38</f>
        <v>-11.398462292015852</v>
      </c>
      <c r="F69" s="702">
        <f t="shared" ref="F69:I69" si="8">F68/F$38</f>
        <v>-19.569626961401703</v>
      </c>
      <c r="G69" s="702">
        <f t="shared" si="8"/>
        <v>-9.1105166860064539</v>
      </c>
      <c r="H69" s="702">
        <f t="shared" si="8"/>
        <v>7.307451380483279</v>
      </c>
      <c r="I69" s="702">
        <f t="shared" si="8"/>
        <v>8.5712243734132691</v>
      </c>
    </row>
    <row r="70" spans="2:10">
      <c r="B70" s="104" t="s">
        <v>705</v>
      </c>
      <c r="D70" s="650" t="str">
        <f>Data!$C$9</f>
        <v>£m 18/19</v>
      </c>
      <c r="E70" s="702">
        <f>E67-E69</f>
        <v>7.4094059060184847E-2</v>
      </c>
      <c r="F70" s="702">
        <f t="shared" ref="F70:I70" si="9">F67-F69</f>
        <v>-0.50728103389686652</v>
      </c>
      <c r="G70" s="702">
        <f t="shared" si="9"/>
        <v>-0.20747271769850251</v>
      </c>
      <c r="H70" s="702">
        <f t="shared" si="9"/>
        <v>1.4319174741381246</v>
      </c>
      <c r="I70" s="702">
        <f t="shared" si="9"/>
        <v>-6.2936132268518463E-3</v>
      </c>
    </row>
  </sheetData>
  <sheetProtection insertRows="0" sort="0" autoFilter="0" pivotTables="0"/>
  <mergeCells count="1">
    <mergeCell ref="B9:I9"/>
  </mergeCells>
  <phoneticPr fontId="248" type="noConversion"/>
  <conditionalFormatting sqref="E7:I7">
    <cfRule type="expression" dxfId="25" priority="15">
      <formula>AND(E$5="Actuals",F$5="Forecast")</formula>
    </cfRule>
  </conditionalFormatting>
  <conditionalFormatting sqref="E11:I11">
    <cfRule type="expression" dxfId="24" priority="10">
      <formula>E$5="Forecast"</formula>
    </cfRule>
  </conditionalFormatting>
  <conditionalFormatting sqref="E16:I19">
    <cfRule type="expression" dxfId="23" priority="7">
      <formula>E$5="Forecast"</formula>
    </cfRule>
  </conditionalFormatting>
  <conditionalFormatting sqref="E23:I32">
    <cfRule type="expression" dxfId="22" priority="13">
      <formula>E$5="Forecast"</formula>
    </cfRule>
  </conditionalFormatting>
  <pageMargins left="0.70866141732283472" right="0.70866141732283472" top="0.74803149606299213" bottom="0.74803149606299213" header="0.31496062992125984" footer="0.31496062992125984"/>
  <pageSetup paperSize="8" orientation="landscape" r:id="rId1"/>
  <headerFooter>
    <oddFooter>&amp;C&amp;"Calibri"&amp;11&amp;K000000_x000D_&amp;1#&amp;"Calibri"&amp;12&amp;K008000Internal Use</oddFooter>
  </headerFooter>
  <ignoredErrors>
    <ignoredError sqref="F46:I46" evalError="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82"/>
  <sheetViews>
    <sheetView zoomScale="85" zoomScaleNormal="85" workbookViewId="0">
      <selection activeCell="B6" sqref="B6"/>
    </sheetView>
  </sheetViews>
  <sheetFormatPr defaultColWidth="9" defaultRowHeight="12.75"/>
  <cols>
    <col min="1" max="1" width="8.375" style="104" customWidth="1"/>
    <col min="2" max="2" width="44.5" style="104" customWidth="1"/>
    <col min="3" max="3" width="15.125" style="104" customWidth="1"/>
    <col min="4" max="4" width="14.75" style="104" customWidth="1"/>
    <col min="5" max="5" width="14.875" style="104" customWidth="1"/>
    <col min="6" max="6" width="14.375" style="104" customWidth="1"/>
    <col min="7" max="8" width="11.125" style="104" customWidth="1"/>
    <col min="9" max="9" width="5" style="104" customWidth="1"/>
    <col min="10" max="13" width="9" style="104"/>
    <col min="14" max="14" width="13.125" style="104" customWidth="1"/>
    <col min="15" max="16384" width="9" style="104"/>
  </cols>
  <sheetData>
    <row r="1" spans="1:15" ht="20.25">
      <c r="A1" s="326" t="s">
        <v>262</v>
      </c>
      <c r="B1" s="328"/>
      <c r="C1" s="329"/>
      <c r="D1" s="329"/>
      <c r="E1" s="329"/>
      <c r="F1" s="329"/>
      <c r="G1" s="329"/>
      <c r="H1" s="329"/>
      <c r="I1" s="468"/>
    </row>
    <row r="2" spans="1:15" ht="20.25">
      <c r="A2" s="331" t="str">
        <f>Licensee</f>
        <v>SPT</v>
      </c>
      <c r="B2" s="333"/>
      <c r="C2" s="334"/>
      <c r="D2" s="334"/>
      <c r="E2" s="334"/>
      <c r="F2" s="334"/>
      <c r="G2" s="334"/>
      <c r="H2" s="334"/>
      <c r="I2" s="336"/>
    </row>
    <row r="3" spans="1:15" ht="20.25">
      <c r="A3" s="333">
        <f>Reporting_Year</f>
        <v>2023</v>
      </c>
      <c r="B3" s="337"/>
      <c r="C3" s="337"/>
      <c r="D3" s="337"/>
      <c r="E3" s="337"/>
      <c r="F3" s="337"/>
      <c r="G3" s="337"/>
      <c r="H3" s="337"/>
      <c r="I3" s="339"/>
    </row>
    <row r="4" spans="1:15" s="341" customFormat="1" ht="12.75" customHeight="1"/>
    <row r="5" spans="1:15" s="341" customFormat="1">
      <c r="B5" s="492"/>
      <c r="C5" s="492"/>
      <c r="D5" s="340" t="str">
        <f t="shared" ref="D5:H5" si="0">IF(D6&lt;=Reporting_Year,"Actuals","Forecast")</f>
        <v>Actuals</v>
      </c>
      <c r="E5" s="340" t="str">
        <f t="shared" si="0"/>
        <v>Actuals</v>
      </c>
      <c r="F5" s="340" t="str">
        <f t="shared" si="0"/>
        <v>Forecast</v>
      </c>
      <c r="G5" s="340" t="str">
        <f t="shared" si="0"/>
        <v>Forecast</v>
      </c>
      <c r="H5" s="340" t="str">
        <f t="shared" si="0"/>
        <v>Forecast</v>
      </c>
    </row>
    <row r="6" spans="1:15" s="341" customFormat="1">
      <c r="D6" s="469">
        <f>'RFPR cover'!$C$6</f>
        <v>2022</v>
      </c>
      <c r="E6" s="470">
        <f>D6+1</f>
        <v>2023</v>
      </c>
      <c r="F6" s="470">
        <f t="shared" ref="F6:H6" si="1">E6+1</f>
        <v>2024</v>
      </c>
      <c r="G6" s="470">
        <f t="shared" si="1"/>
        <v>2025</v>
      </c>
      <c r="H6" s="470">
        <f t="shared" si="1"/>
        <v>2026</v>
      </c>
    </row>
    <row r="7" spans="1:15" s="341" customFormat="1">
      <c r="D7" s="469" t="str">
        <f>RIIO_2_start_date-1&amp;"/"&amp;RIGHT(RIIO_2_start_date,2)</f>
        <v>2021/22</v>
      </c>
      <c r="E7" s="469" t="str">
        <f>RIIO_2_start_date&amp;"/"&amp;RIGHT(RIIO_2_start_date+1,2)</f>
        <v>2022/23</v>
      </c>
      <c r="F7" s="469" t="str">
        <f>RIIO_2_start_date+1&amp;"/"&amp;RIGHT(RIIO_2_start_date+2,2)</f>
        <v>2023/24</v>
      </c>
      <c r="G7" s="469" t="str">
        <f>RIIO_2_start_date+2&amp;"/"&amp;RIGHT(RIIO_2_start_date+3,2)</f>
        <v>2024/25</v>
      </c>
      <c r="H7" s="575" t="str">
        <f>RIIO_2_start_date+3&amp;"/"&amp;RIGHT(RIIO_2_start_date+4,2)</f>
        <v>2025/26</v>
      </c>
    </row>
    <row r="8" spans="1:15" s="341" customFormat="1"/>
    <row r="9" spans="1:15" s="341" customFormat="1">
      <c r="A9" s="706" t="s">
        <v>707</v>
      </c>
      <c r="B9" s="707"/>
      <c r="C9" s="346"/>
      <c r="D9" s="346"/>
      <c r="E9" s="346"/>
      <c r="F9" s="346"/>
      <c r="G9" s="346"/>
      <c r="H9" s="346"/>
    </row>
    <row r="10" spans="1:15" s="341" customFormat="1"/>
    <row r="11" spans="1:15">
      <c r="B11" s="441" t="s">
        <v>708</v>
      </c>
      <c r="C11" s="29" t="s">
        <v>419</v>
      </c>
      <c r="D11" s="692">
        <v>185</v>
      </c>
      <c r="E11" s="692">
        <v>337</v>
      </c>
      <c r="F11" s="692"/>
      <c r="G11" s="692"/>
      <c r="H11" s="692"/>
      <c r="J11" s="341"/>
    </row>
    <row r="12" spans="1:15">
      <c r="B12" s="423" t="s">
        <v>709</v>
      </c>
      <c r="C12" s="441"/>
      <c r="D12" s="668"/>
      <c r="E12" s="668"/>
      <c r="F12" s="668"/>
      <c r="G12" s="668"/>
      <c r="H12" s="668"/>
      <c r="J12" s="341"/>
    </row>
    <row r="13" spans="1:15">
      <c r="B13" s="579" t="s">
        <v>689</v>
      </c>
      <c r="C13" s="29" t="s">
        <v>419</v>
      </c>
      <c r="D13" s="692">
        <v>0</v>
      </c>
      <c r="E13" s="692">
        <v>0</v>
      </c>
      <c r="F13" s="692"/>
      <c r="G13" s="692"/>
      <c r="H13" s="692"/>
      <c r="J13" s="341"/>
    </row>
    <row r="14" spans="1:15">
      <c r="B14" s="579" t="s">
        <v>689</v>
      </c>
      <c r="C14" s="29" t="s">
        <v>419</v>
      </c>
      <c r="D14" s="692">
        <v>0</v>
      </c>
      <c r="E14" s="692">
        <v>0</v>
      </c>
      <c r="F14" s="692"/>
      <c r="G14" s="692"/>
      <c r="H14" s="692"/>
      <c r="J14" s="341"/>
    </row>
    <row r="15" spans="1:15">
      <c r="B15" s="579" t="s">
        <v>690</v>
      </c>
      <c r="C15" s="29" t="s">
        <v>419</v>
      </c>
      <c r="D15" s="692">
        <v>0</v>
      </c>
      <c r="E15" s="692">
        <v>0</v>
      </c>
      <c r="F15" s="692"/>
      <c r="G15" s="692"/>
      <c r="H15" s="692"/>
      <c r="J15" s="341"/>
      <c r="N15" s="708"/>
    </row>
    <row r="16" spans="1:15">
      <c r="B16" s="441" t="s">
        <v>710</v>
      </c>
      <c r="C16" s="29" t="s">
        <v>419</v>
      </c>
      <c r="D16" s="702">
        <f>D11-SUM(D13:D15)</f>
        <v>185</v>
      </c>
      <c r="E16" s="702">
        <f t="shared" ref="E16:H16" si="2">E11-SUM(E13:E15)</f>
        <v>337</v>
      </c>
      <c r="F16" s="702">
        <f t="shared" si="2"/>
        <v>0</v>
      </c>
      <c r="G16" s="702">
        <f t="shared" si="2"/>
        <v>0</v>
      </c>
      <c r="H16" s="702">
        <f t="shared" si="2"/>
        <v>0</v>
      </c>
      <c r="J16" s="341"/>
      <c r="O16" s="709"/>
    </row>
    <row r="17" spans="1:14">
      <c r="C17" s="441"/>
      <c r="J17" s="341"/>
      <c r="N17" s="708"/>
    </row>
    <row r="18" spans="1:14">
      <c r="B18" s="441" t="s">
        <v>711</v>
      </c>
      <c r="C18" s="29" t="s">
        <v>419</v>
      </c>
      <c r="D18" s="692">
        <v>0</v>
      </c>
      <c r="E18" s="692">
        <v>0</v>
      </c>
      <c r="F18" s="692"/>
      <c r="G18" s="692"/>
      <c r="H18" s="692"/>
      <c r="J18" s="341"/>
    </row>
    <row r="19" spans="1:14">
      <c r="J19" s="341"/>
    </row>
    <row r="22" spans="1:14">
      <c r="A22" s="706" t="s">
        <v>712</v>
      </c>
      <c r="B22" s="710"/>
      <c r="C22" s="346"/>
      <c r="D22" s="346"/>
      <c r="E22" s="346"/>
      <c r="F22" s="346"/>
      <c r="G22" s="346"/>
      <c r="H22" s="346"/>
    </row>
    <row r="23" spans="1:14">
      <c r="D23" s="801" t="str">
        <f>Reporting_Year&amp;" "&amp;"- Actuals"</f>
        <v>2023 - Actuals</v>
      </c>
      <c r="E23" s="802"/>
      <c r="F23" s="802"/>
      <c r="G23" s="802"/>
      <c r="H23" s="803"/>
    </row>
    <row r="24" spans="1:14">
      <c r="D24" s="711" t="s">
        <v>713</v>
      </c>
      <c r="E24" s="711" t="s">
        <v>714</v>
      </c>
      <c r="F24" s="711" t="s">
        <v>715</v>
      </c>
      <c r="G24" s="711" t="s">
        <v>716</v>
      </c>
      <c r="H24" s="711" t="s">
        <v>717</v>
      </c>
    </row>
    <row r="25" spans="1:14" ht="35.1" customHeight="1">
      <c r="C25" s="104" t="s">
        <v>718</v>
      </c>
      <c r="D25" s="741" t="s">
        <v>825</v>
      </c>
      <c r="E25" s="741" t="s">
        <v>826</v>
      </c>
      <c r="F25" s="712"/>
      <c r="G25" s="712"/>
      <c r="H25" s="712"/>
    </row>
    <row r="26" spans="1:14" ht="44.45" customHeight="1">
      <c r="B26" s="441" t="s">
        <v>719</v>
      </c>
    </row>
    <row r="27" spans="1:14">
      <c r="B27" s="104" t="s">
        <v>720</v>
      </c>
      <c r="C27" s="29" t="s">
        <v>419</v>
      </c>
      <c r="D27" s="807">
        <v>0.21129033</v>
      </c>
      <c r="E27" s="808">
        <v>0.52094032999999995</v>
      </c>
      <c r="F27" s="713"/>
      <c r="G27" s="713"/>
      <c r="H27" s="713"/>
    </row>
    <row r="28" spans="1:14">
      <c r="B28" s="104" t="s">
        <v>721</v>
      </c>
      <c r="C28" s="29" t="s">
        <v>419</v>
      </c>
      <c r="D28" s="809">
        <v>0</v>
      </c>
      <c r="E28" s="810">
        <v>0</v>
      </c>
      <c r="F28" s="714"/>
      <c r="G28" s="714"/>
      <c r="H28" s="714"/>
    </row>
    <row r="29" spans="1:14">
      <c r="B29" s="579" t="s">
        <v>690</v>
      </c>
      <c r="C29" s="29" t="s">
        <v>419</v>
      </c>
      <c r="D29" s="809">
        <v>0</v>
      </c>
      <c r="E29" s="810">
        <v>0</v>
      </c>
      <c r="F29" s="714"/>
      <c r="G29" s="714"/>
      <c r="H29" s="714"/>
    </row>
    <row r="30" spans="1:14">
      <c r="B30" s="104" t="s">
        <v>722</v>
      </c>
      <c r="C30" s="29" t="s">
        <v>419</v>
      </c>
      <c r="D30" s="811">
        <v>7.0519799999999994E-3</v>
      </c>
      <c r="E30" s="812">
        <v>2.4580459999999998E-2</v>
      </c>
      <c r="F30" s="715"/>
      <c r="G30" s="715"/>
      <c r="H30" s="715"/>
    </row>
    <row r="31" spans="1:14">
      <c r="B31" s="579" t="s">
        <v>690</v>
      </c>
      <c r="C31" s="29" t="s">
        <v>419</v>
      </c>
      <c r="D31" s="813">
        <v>0</v>
      </c>
      <c r="E31" s="814">
        <v>0</v>
      </c>
      <c r="F31" s="716"/>
      <c r="G31" s="716"/>
      <c r="H31" s="716"/>
    </row>
    <row r="32" spans="1:14">
      <c r="B32" s="104" t="s">
        <v>723</v>
      </c>
      <c r="C32" s="29" t="s">
        <v>419</v>
      </c>
      <c r="D32" s="813">
        <v>0</v>
      </c>
      <c r="E32" s="814">
        <v>0.16163729999999998</v>
      </c>
      <c r="F32" s="716"/>
      <c r="G32" s="716"/>
      <c r="H32" s="716"/>
    </row>
    <row r="33" spans="2:8">
      <c r="B33" s="579" t="s">
        <v>690</v>
      </c>
      <c r="C33" s="29" t="s">
        <v>419</v>
      </c>
      <c r="D33" s="807">
        <v>0</v>
      </c>
      <c r="E33" s="808">
        <v>0</v>
      </c>
      <c r="F33" s="713"/>
      <c r="G33" s="713"/>
      <c r="H33" s="713"/>
    </row>
    <row r="34" spans="2:8">
      <c r="B34" s="441" t="s">
        <v>724</v>
      </c>
      <c r="C34" s="29" t="s">
        <v>419</v>
      </c>
      <c r="D34" s="815">
        <v>0.21834230999999998</v>
      </c>
      <c r="E34" s="815">
        <v>0.70715808999999996</v>
      </c>
      <c r="F34" s="728">
        <f>SUM(F27:F33)</f>
        <v>0</v>
      </c>
      <c r="G34" s="728">
        <f>SUM(G27:G33)</f>
        <v>0</v>
      </c>
      <c r="H34" s="728">
        <f>SUM(H27:H33)</f>
        <v>0</v>
      </c>
    </row>
    <row r="35" spans="2:8">
      <c r="B35" s="441" t="s">
        <v>725</v>
      </c>
      <c r="C35" s="29" t="s">
        <v>419</v>
      </c>
      <c r="D35" s="816">
        <v>7.2052962299999995E-2</v>
      </c>
      <c r="E35" s="816">
        <v>0.3885033497</v>
      </c>
      <c r="F35" s="717"/>
      <c r="G35" s="717"/>
      <c r="H35" s="717"/>
    </row>
    <row r="36" spans="2:8">
      <c r="B36" s="579"/>
      <c r="D36" s="817"/>
      <c r="E36" s="817"/>
      <c r="F36" s="718"/>
      <c r="G36" s="718"/>
      <c r="H36" s="718"/>
    </row>
    <row r="37" spans="2:8">
      <c r="B37" s="441" t="s">
        <v>726</v>
      </c>
      <c r="D37" s="817"/>
      <c r="E37" s="817"/>
      <c r="F37" s="718"/>
      <c r="G37" s="718"/>
      <c r="H37" s="718"/>
    </row>
    <row r="38" spans="2:8">
      <c r="B38" s="104" t="s">
        <v>727</v>
      </c>
      <c r="C38" s="29" t="s">
        <v>419</v>
      </c>
      <c r="D38" s="807">
        <v>0</v>
      </c>
      <c r="E38" s="808">
        <v>0</v>
      </c>
      <c r="F38" s="713"/>
      <c r="G38" s="713"/>
      <c r="H38" s="713"/>
    </row>
    <row r="39" spans="2:8">
      <c r="B39" s="579" t="s">
        <v>690</v>
      </c>
      <c r="C39" s="29" t="s">
        <v>419</v>
      </c>
      <c r="D39" s="813">
        <v>0</v>
      </c>
      <c r="E39" s="814">
        <v>0</v>
      </c>
      <c r="F39" s="716"/>
      <c r="G39" s="716"/>
      <c r="H39" s="716"/>
    </row>
    <row r="40" spans="2:8">
      <c r="B40" s="104" t="s">
        <v>728</v>
      </c>
      <c r="C40" s="29" t="s">
        <v>419</v>
      </c>
      <c r="D40" s="811">
        <v>0.127581</v>
      </c>
      <c r="E40" s="812">
        <v>0.29131299999999999</v>
      </c>
      <c r="F40" s="715"/>
      <c r="G40" s="715"/>
      <c r="H40" s="715"/>
    </row>
    <row r="41" spans="2:8">
      <c r="B41" s="579" t="s">
        <v>690</v>
      </c>
      <c r="C41" s="29" t="s">
        <v>419</v>
      </c>
      <c r="D41" s="813">
        <v>0</v>
      </c>
      <c r="E41" s="814">
        <v>0</v>
      </c>
      <c r="F41" s="716"/>
      <c r="G41" s="716"/>
      <c r="H41" s="716"/>
    </row>
    <row r="42" spans="2:8">
      <c r="B42" s="441" t="s">
        <v>729</v>
      </c>
      <c r="C42" s="29" t="s">
        <v>419</v>
      </c>
      <c r="D42" s="818">
        <v>0.127581</v>
      </c>
      <c r="E42" s="818">
        <v>0.29131299999999999</v>
      </c>
      <c r="F42" s="729">
        <f t="shared" ref="D42:H42" si="3">SUM(F38:F41)</f>
        <v>0</v>
      </c>
      <c r="G42" s="729">
        <f t="shared" si="3"/>
        <v>0</v>
      </c>
      <c r="H42" s="729">
        <f t="shared" si="3"/>
        <v>0</v>
      </c>
    </row>
    <row r="43" spans="2:8">
      <c r="B43" s="441" t="s">
        <v>725</v>
      </c>
      <c r="C43" s="29" t="s">
        <v>419</v>
      </c>
      <c r="D43" s="816">
        <v>4.2101730000000004E-2</v>
      </c>
      <c r="E43" s="816">
        <v>0.14703854999999999</v>
      </c>
      <c r="F43" s="717"/>
      <c r="G43" s="717"/>
      <c r="H43" s="717"/>
    </row>
    <row r="44" spans="2:8">
      <c r="D44" s="817"/>
      <c r="E44" s="817"/>
      <c r="F44" s="718"/>
      <c r="G44" s="718"/>
      <c r="H44" s="718"/>
    </row>
    <row r="45" spans="2:8">
      <c r="B45" s="441" t="s">
        <v>730</v>
      </c>
      <c r="C45" s="29" t="s">
        <v>419</v>
      </c>
      <c r="D45" s="818">
        <v>0.34592330999999998</v>
      </c>
      <c r="E45" s="818">
        <v>0.99847109000000001</v>
      </c>
      <c r="F45" s="729">
        <f t="shared" ref="D45:H45" si="4">SUM(F34,F42)</f>
        <v>0</v>
      </c>
      <c r="G45" s="729">
        <f t="shared" si="4"/>
        <v>0</v>
      </c>
      <c r="H45" s="729">
        <f t="shared" si="4"/>
        <v>0</v>
      </c>
    </row>
    <row r="46" spans="2:8">
      <c r="B46" s="441" t="s">
        <v>731</v>
      </c>
      <c r="C46" s="29" t="s">
        <v>419</v>
      </c>
      <c r="D46" s="818">
        <v>0.1141546923</v>
      </c>
      <c r="E46" s="818">
        <v>0.53554189969999999</v>
      </c>
      <c r="F46" s="729">
        <f t="shared" ref="E46:H46" si="5">F35+F43</f>
        <v>0</v>
      </c>
      <c r="G46" s="729">
        <f t="shared" si="5"/>
        <v>0</v>
      </c>
      <c r="H46" s="729">
        <f t="shared" si="5"/>
        <v>0</v>
      </c>
    </row>
    <row r="47" spans="2:8">
      <c r="D47" s="817"/>
      <c r="E47" s="817"/>
      <c r="F47" s="718"/>
      <c r="G47" s="718"/>
      <c r="H47" s="718"/>
    </row>
    <row r="48" spans="2:8">
      <c r="B48" s="441" t="s">
        <v>732</v>
      </c>
      <c r="D48" s="817"/>
      <c r="E48" s="817"/>
      <c r="F48" s="718"/>
      <c r="G48" s="718"/>
      <c r="H48" s="718"/>
    </row>
    <row r="49" spans="2:14">
      <c r="B49" s="104" t="s">
        <v>733</v>
      </c>
      <c r="C49" s="29" t="s">
        <v>734</v>
      </c>
      <c r="D49" s="807">
        <v>0</v>
      </c>
      <c r="E49" s="808">
        <v>0</v>
      </c>
      <c r="F49" s="713"/>
      <c r="G49" s="713"/>
      <c r="H49" s="713"/>
    </row>
    <row r="50" spans="2:14">
      <c r="B50" s="579" t="s">
        <v>690</v>
      </c>
      <c r="C50" s="29"/>
      <c r="D50" s="807">
        <v>0</v>
      </c>
      <c r="E50" s="808">
        <v>0</v>
      </c>
      <c r="F50" s="713"/>
      <c r="G50" s="713"/>
      <c r="H50" s="713"/>
    </row>
    <row r="51" spans="2:14">
      <c r="B51" s="104" t="s">
        <v>735</v>
      </c>
      <c r="C51" s="29" t="s">
        <v>383</v>
      </c>
      <c r="D51" s="807">
        <v>0</v>
      </c>
      <c r="E51" s="808">
        <v>0</v>
      </c>
      <c r="F51" s="713"/>
      <c r="G51" s="713"/>
      <c r="H51" s="713"/>
    </row>
    <row r="52" spans="2:14">
      <c r="B52" s="221" t="s">
        <v>736</v>
      </c>
      <c r="C52" s="29" t="s">
        <v>383</v>
      </c>
      <c r="D52" s="807">
        <v>0</v>
      </c>
      <c r="E52" s="808">
        <v>0</v>
      </c>
      <c r="F52" s="713"/>
      <c r="G52" s="713"/>
      <c r="H52" s="713"/>
    </row>
    <row r="53" spans="2:14">
      <c r="B53" s="441" t="s">
        <v>737</v>
      </c>
      <c r="C53" s="29" t="s">
        <v>419</v>
      </c>
      <c r="D53" s="807">
        <v>0</v>
      </c>
      <c r="E53" s="808">
        <v>0</v>
      </c>
      <c r="F53" s="713"/>
      <c r="G53" s="713"/>
      <c r="H53" s="713"/>
    </row>
    <row r="54" spans="2:14">
      <c r="B54" s="221" t="s">
        <v>738</v>
      </c>
      <c r="C54" s="29" t="s">
        <v>739</v>
      </c>
      <c r="D54" s="807">
        <v>0</v>
      </c>
      <c r="E54" s="808">
        <v>0</v>
      </c>
      <c r="F54" s="713"/>
      <c r="G54" s="713"/>
      <c r="H54" s="713"/>
    </row>
    <row r="55" spans="2:14">
      <c r="B55" s="221" t="s">
        <v>740</v>
      </c>
      <c r="C55" s="29" t="s">
        <v>741</v>
      </c>
      <c r="D55" s="807">
        <v>0</v>
      </c>
      <c r="E55" s="808">
        <v>0</v>
      </c>
      <c r="F55" s="713"/>
      <c r="G55" s="713"/>
      <c r="H55" s="713"/>
    </row>
    <row r="56" spans="2:14">
      <c r="B56" s="221" t="s">
        <v>742</v>
      </c>
      <c r="C56" s="29" t="s">
        <v>739</v>
      </c>
      <c r="D56" s="807">
        <v>0</v>
      </c>
      <c r="E56" s="808">
        <v>0</v>
      </c>
      <c r="F56" s="713"/>
      <c r="G56" s="713"/>
      <c r="H56" s="713"/>
    </row>
    <row r="57" spans="2:14">
      <c r="B57" s="441" t="s">
        <v>743</v>
      </c>
      <c r="C57" s="29" t="s">
        <v>419</v>
      </c>
      <c r="D57" s="819">
        <v>0</v>
      </c>
      <c r="E57" s="819">
        <v>0</v>
      </c>
      <c r="F57" s="730">
        <f t="shared" ref="E57:H57" si="6">F55*F56</f>
        <v>0</v>
      </c>
      <c r="G57" s="730">
        <f t="shared" si="6"/>
        <v>0</v>
      </c>
      <c r="H57" s="730">
        <f t="shared" si="6"/>
        <v>0</v>
      </c>
    </row>
    <row r="58" spans="2:14">
      <c r="C58" s="29"/>
      <c r="D58" s="817"/>
      <c r="E58" s="817"/>
      <c r="F58" s="718"/>
      <c r="G58" s="718"/>
      <c r="H58" s="718"/>
    </row>
    <row r="59" spans="2:14">
      <c r="B59" s="441" t="s">
        <v>744</v>
      </c>
      <c r="C59" s="29" t="s">
        <v>419</v>
      </c>
      <c r="D59" s="807">
        <v>0</v>
      </c>
      <c r="E59" s="808">
        <v>0</v>
      </c>
      <c r="F59" s="713"/>
      <c r="G59" s="713"/>
      <c r="H59" s="713"/>
    </row>
    <row r="60" spans="2:14">
      <c r="B60" s="441"/>
      <c r="C60" s="441"/>
      <c r="D60" s="820"/>
      <c r="E60" s="820"/>
      <c r="F60" s="719"/>
      <c r="G60" s="719"/>
      <c r="H60" s="719"/>
      <c r="I60" s="441"/>
      <c r="J60" s="441"/>
      <c r="K60" s="441"/>
      <c r="L60" s="441"/>
      <c r="M60" s="441"/>
      <c r="N60" s="441"/>
    </row>
    <row r="61" spans="2:14">
      <c r="B61" s="441" t="s">
        <v>745</v>
      </c>
      <c r="C61" s="29"/>
      <c r="D61" s="819">
        <v>0</v>
      </c>
      <c r="E61" s="819">
        <v>0</v>
      </c>
      <c r="F61" s="730">
        <f>F53+F57+F59</f>
        <v>0</v>
      </c>
      <c r="G61" s="730">
        <f>G53+G57+G59</f>
        <v>0</v>
      </c>
      <c r="H61" s="730">
        <f>H53+H57+H59</f>
        <v>0</v>
      </c>
    </row>
    <row r="62" spans="2:14">
      <c r="B62" s="441" t="s">
        <v>725</v>
      </c>
      <c r="C62" s="29" t="s">
        <v>419</v>
      </c>
      <c r="D62" s="807">
        <v>0</v>
      </c>
      <c r="E62" s="808">
        <v>0</v>
      </c>
      <c r="F62" s="713"/>
      <c r="G62" s="713"/>
      <c r="H62" s="713"/>
    </row>
    <row r="63" spans="2:14">
      <c r="B63" s="441"/>
      <c r="C63" s="29"/>
      <c r="D63" s="820"/>
      <c r="E63" s="820"/>
      <c r="F63" s="719"/>
      <c r="G63" s="719"/>
      <c r="H63" s="719"/>
      <c r="J63" s="441"/>
      <c r="K63" s="441"/>
    </row>
    <row r="64" spans="2:14">
      <c r="B64" s="441" t="s">
        <v>746</v>
      </c>
      <c r="C64" s="29" t="s">
        <v>419</v>
      </c>
      <c r="D64" s="819">
        <v>0.34592330999999998</v>
      </c>
      <c r="E64" s="819">
        <v>0.99847109000000001</v>
      </c>
      <c r="F64" s="730">
        <f t="shared" ref="E64:H64" si="7">F45+F61</f>
        <v>0</v>
      </c>
      <c r="G64" s="730">
        <f t="shared" si="7"/>
        <v>0</v>
      </c>
      <c r="H64" s="730">
        <f t="shared" si="7"/>
        <v>0</v>
      </c>
    </row>
    <row r="65" spans="1:12">
      <c r="B65" s="441" t="s">
        <v>747</v>
      </c>
      <c r="C65" s="29" t="s">
        <v>419</v>
      </c>
      <c r="D65" s="819">
        <v>0.1141546923</v>
      </c>
      <c r="E65" s="819">
        <v>0.53554189969999999</v>
      </c>
      <c r="F65" s="730">
        <f t="shared" ref="E65:H65" si="8">F46+F62</f>
        <v>0</v>
      </c>
      <c r="G65" s="730">
        <f t="shared" si="8"/>
        <v>0</v>
      </c>
      <c r="H65" s="730">
        <f t="shared" si="8"/>
        <v>0</v>
      </c>
      <c r="J65" s="441"/>
    </row>
    <row r="66" spans="1:12">
      <c r="B66" s="441"/>
      <c r="C66" s="29"/>
      <c r="D66" s="559"/>
      <c r="E66" s="559"/>
      <c r="F66" s="559"/>
      <c r="G66" s="559"/>
      <c r="H66" s="559"/>
      <c r="J66" s="441"/>
    </row>
    <row r="67" spans="1:12">
      <c r="B67" s="441" t="s">
        <v>748</v>
      </c>
      <c r="C67" s="29"/>
      <c r="D67" s="559"/>
      <c r="E67" s="559"/>
      <c r="F67" s="559"/>
      <c r="G67" s="559"/>
      <c r="H67" s="559"/>
      <c r="I67" s="559"/>
      <c r="J67" s="559"/>
      <c r="K67" s="559"/>
    </row>
    <row r="68" spans="1:12">
      <c r="B68" s="104" t="s">
        <v>749</v>
      </c>
      <c r="C68" s="29"/>
      <c r="D68" s="508">
        <v>6.4653728693181813</v>
      </c>
      <c r="E68" s="559"/>
      <c r="F68" s="559"/>
      <c r="G68" s="559"/>
      <c r="H68" s="559"/>
      <c r="I68" s="559"/>
      <c r="J68" s="559"/>
      <c r="K68" s="559"/>
    </row>
    <row r="69" spans="1:12">
      <c r="B69" s="104" t="s">
        <v>750</v>
      </c>
      <c r="C69" s="29"/>
      <c r="D69" s="508">
        <v>5.2619272962908878</v>
      </c>
      <c r="E69" s="559"/>
      <c r="F69" s="559"/>
      <c r="G69" s="559"/>
      <c r="H69" s="559"/>
      <c r="I69" s="559"/>
      <c r="J69" s="559"/>
      <c r="K69" s="559"/>
    </row>
    <row r="70" spans="1:12">
      <c r="B70" s="104" t="s">
        <v>751</v>
      </c>
      <c r="C70" s="29"/>
      <c r="D70" s="508">
        <v>4.3198942764945647</v>
      </c>
      <c r="E70" s="559"/>
      <c r="F70" s="559"/>
      <c r="G70" s="559"/>
      <c r="H70" s="559"/>
      <c r="I70" s="559"/>
      <c r="J70" s="559"/>
      <c r="K70" s="559"/>
    </row>
    <row r="71" spans="1:12">
      <c r="B71" s="441"/>
      <c r="C71" s="29"/>
      <c r="D71" s="559"/>
      <c r="E71" s="559"/>
      <c r="F71" s="559"/>
      <c r="G71" s="559"/>
      <c r="H71" s="559"/>
      <c r="I71" s="559"/>
      <c r="J71" s="559"/>
      <c r="K71" s="559"/>
    </row>
    <row r="72" spans="1:12">
      <c r="A72" s="440" t="s">
        <v>752</v>
      </c>
      <c r="B72" s="441"/>
      <c r="C72" s="29"/>
      <c r="D72" s="29"/>
      <c r="E72" s="559"/>
      <c r="F72" s="559"/>
      <c r="G72" s="559"/>
      <c r="H72" s="559"/>
      <c r="I72" s="559"/>
      <c r="J72" s="559"/>
      <c r="K72" s="559"/>
      <c r="L72" s="29"/>
    </row>
    <row r="73" spans="1:12">
      <c r="A73" s="440" t="s">
        <v>753</v>
      </c>
      <c r="B73" s="441"/>
      <c r="C73" s="441"/>
      <c r="D73" s="441"/>
      <c r="E73" s="559"/>
      <c r="F73" s="441"/>
      <c r="G73" s="441"/>
      <c r="H73" s="441"/>
      <c r="I73" s="441"/>
      <c r="J73" s="441"/>
    </row>
    <row r="74" spans="1:12">
      <c r="A74" s="440"/>
      <c r="B74" s="441"/>
      <c r="C74" s="441"/>
      <c r="D74" s="441"/>
      <c r="E74" s="441"/>
      <c r="F74" s="441"/>
      <c r="G74" s="441"/>
      <c r="H74" s="441"/>
      <c r="I74" s="441"/>
      <c r="J74" s="441"/>
    </row>
    <row r="75" spans="1:12">
      <c r="B75" s="441" t="s">
        <v>754</v>
      </c>
    </row>
    <row r="76" spans="1:12">
      <c r="B76" s="441"/>
    </row>
    <row r="77" spans="1:12" ht="51">
      <c r="B77" s="720" t="s">
        <v>827</v>
      </c>
      <c r="C77" s="721"/>
      <c r="D77" s="721"/>
      <c r="E77" s="721"/>
      <c r="F77" s="721"/>
      <c r="G77" s="722"/>
      <c r="H77" s="723"/>
    </row>
    <row r="78" spans="1:12">
      <c r="B78" s="724"/>
      <c r="C78" s="725"/>
      <c r="D78" s="446"/>
      <c r="E78" s="447"/>
      <c r="F78" s="447"/>
      <c r="G78" s="447"/>
      <c r="H78" s="448"/>
    </row>
    <row r="79" spans="1:12">
      <c r="B79" s="724"/>
      <c r="C79" s="725"/>
      <c r="D79" s="446"/>
      <c r="E79" s="447"/>
      <c r="F79" s="447"/>
      <c r="G79" s="447"/>
      <c r="H79" s="448"/>
    </row>
    <row r="80" spans="1:12">
      <c r="B80" s="724"/>
      <c r="C80" s="725"/>
      <c r="D80" s="446"/>
      <c r="E80" s="447"/>
      <c r="F80" s="447"/>
      <c r="G80" s="447"/>
      <c r="H80" s="448"/>
    </row>
    <row r="81" spans="2:8">
      <c r="B81" s="724"/>
      <c r="C81" s="725"/>
      <c r="D81" s="446"/>
      <c r="E81" s="447"/>
      <c r="F81" s="447"/>
      <c r="G81" s="447"/>
      <c r="H81" s="448"/>
    </row>
    <row r="82" spans="2:8">
      <c r="B82" s="726"/>
      <c r="C82" s="727"/>
      <c r="D82" s="451"/>
      <c r="E82" s="452"/>
      <c r="F82" s="452"/>
      <c r="G82" s="452"/>
      <c r="H82" s="453"/>
    </row>
  </sheetData>
  <sheetProtection insertRows="0" sort="0" autoFilter="0" pivotTables="0"/>
  <mergeCells count="1">
    <mergeCell ref="D23:H23"/>
  </mergeCells>
  <phoneticPr fontId="248" type="noConversion"/>
  <conditionalFormatting sqref="D5:G6">
    <cfRule type="expression" dxfId="21" priority="39">
      <formula>AND(D$5="Actuals",E$5="N/A")</formula>
    </cfRule>
  </conditionalFormatting>
  <conditionalFormatting sqref="D5:H6 D27:H35 D43:H43 D49:H57 D64:H66 D67:K67 D68:D71 F68:K72 E68:E73">
    <cfRule type="expression" dxfId="20" priority="31">
      <formula>D$5="N/A"</formula>
    </cfRule>
  </conditionalFormatting>
  <conditionalFormatting sqref="D7:H7">
    <cfRule type="expression" dxfId="19" priority="14">
      <formula>AND(D$5="Actuals",E$5="Forecast")</formula>
    </cfRule>
  </conditionalFormatting>
  <conditionalFormatting sqref="D11:H11">
    <cfRule type="expression" dxfId="18" priority="9">
      <formula>D$5="Forecast"</formula>
    </cfRule>
  </conditionalFormatting>
  <conditionalFormatting sqref="D16:H16 F13:H15">
    <cfRule type="expression" dxfId="17" priority="5">
      <formula>D$5="Forecast"</formula>
    </cfRule>
  </conditionalFormatting>
  <conditionalFormatting sqref="F18:H18">
    <cfRule type="expression" dxfId="16" priority="6">
      <formula>F$5="Forecast"</formula>
    </cfRule>
  </conditionalFormatting>
  <conditionalFormatting sqref="D20:H20">
    <cfRule type="expression" priority="25">
      <formula>D$5="N/A"</formula>
    </cfRule>
  </conditionalFormatting>
  <conditionalFormatting sqref="D38:H41">
    <cfRule type="expression" dxfId="15" priority="15">
      <formula>D$5="N/A"</formula>
    </cfRule>
  </conditionalFormatting>
  <conditionalFormatting sqref="D59:H59 D61:H62">
    <cfRule type="expression" dxfId="14" priority="17">
      <formula>D$5="N/A"</formula>
    </cfRule>
  </conditionalFormatting>
  <conditionalFormatting sqref="H5:H6">
    <cfRule type="expression" dxfId="13" priority="278">
      <formula>AND(H$5="Actuals",#REF!="N/A")</formula>
    </cfRule>
  </conditionalFormatting>
  <conditionalFormatting sqref="D13:E15">
    <cfRule type="expression" dxfId="12" priority="4">
      <formula>D$5="Forecast"</formula>
    </cfRule>
  </conditionalFormatting>
  <conditionalFormatting sqref="D18:E18">
    <cfRule type="expression" dxfId="11" priority="3">
      <formula>D$5="Forecast"</formula>
    </cfRule>
  </conditionalFormatting>
  <pageMargins left="0.70866141732283472" right="0.70866141732283472" top="0.74803149606299213" bottom="0.74803149606299213" header="0.31496062992125984" footer="0.31496062992125984"/>
  <pageSetup paperSize="8" orientation="landscape" r:id="rId1"/>
  <headerFooter>
    <oddFooter>&amp;C&amp;"Calibri"&amp;11&amp;K000000_x000D_&amp;1#&amp;"Calibri"&amp;12&amp;K008000Internal Use</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zoomScale="85" zoomScaleNormal="85" workbookViewId="0">
      <selection activeCell="B5" sqref="B5"/>
    </sheetView>
  </sheetViews>
  <sheetFormatPr defaultColWidth="9" defaultRowHeight="12.75"/>
  <cols>
    <col min="1" max="1" width="8.375" style="104" customWidth="1"/>
    <col min="2" max="2" width="77.25" style="104" bestFit="1" customWidth="1"/>
    <col min="3" max="3" width="14.125" style="104" customWidth="1"/>
    <col min="4" max="8" width="11.125" style="104" customWidth="1"/>
    <col min="9" max="9" width="6.625" style="104" bestFit="1" customWidth="1"/>
    <col min="10" max="16384" width="9" style="104"/>
  </cols>
  <sheetData>
    <row r="1" spans="1:10" ht="20.25">
      <c r="A1" s="326" t="s">
        <v>755</v>
      </c>
      <c r="B1" s="328"/>
      <c r="C1" s="329"/>
      <c r="D1" s="329"/>
      <c r="E1" s="329"/>
      <c r="F1" s="329"/>
      <c r="G1" s="329"/>
      <c r="H1" s="329"/>
      <c r="I1" s="468"/>
    </row>
    <row r="2" spans="1:10" ht="20.25">
      <c r="A2" s="331" t="str">
        <f>Licensee</f>
        <v>SPT</v>
      </c>
      <c r="B2" s="333"/>
      <c r="C2" s="334"/>
      <c r="D2" s="334"/>
      <c r="E2" s="334"/>
      <c r="F2" s="334"/>
      <c r="G2" s="334"/>
      <c r="H2" s="334"/>
      <c r="I2" s="336"/>
    </row>
    <row r="3" spans="1:10" ht="20.25">
      <c r="A3" s="333">
        <f>Reporting_Year</f>
        <v>2023</v>
      </c>
      <c r="B3" s="568"/>
      <c r="C3" s="337"/>
      <c r="D3" s="337"/>
      <c r="E3" s="337"/>
      <c r="F3" s="337"/>
      <c r="G3" s="337"/>
      <c r="H3" s="337"/>
      <c r="I3" s="339"/>
    </row>
    <row r="4" spans="1:10" s="341" customFormat="1" ht="12.75" customHeight="1">
      <c r="B4" s="492"/>
      <c r="C4" s="104"/>
      <c r="D4" s="613"/>
      <c r="E4" s="613"/>
    </row>
    <row r="5" spans="1:10" s="341" customFormat="1" ht="12.75" customHeight="1">
      <c r="B5" s="492"/>
      <c r="C5" s="104"/>
      <c r="D5" s="731" t="str">
        <f t="shared" ref="D5:H5" si="0">IF(D6&lt;=Reporting_Year,"Actuals","Forecast")</f>
        <v>Actuals</v>
      </c>
      <c r="E5" s="731" t="str">
        <f t="shared" si="0"/>
        <v>Actuals</v>
      </c>
      <c r="F5" s="731" t="str">
        <f t="shared" si="0"/>
        <v>Forecast</v>
      </c>
      <c r="G5" s="731" t="str">
        <f t="shared" si="0"/>
        <v>Forecast</v>
      </c>
      <c r="H5" s="731" t="str">
        <f t="shared" si="0"/>
        <v>Forecast</v>
      </c>
      <c r="I5" s="479"/>
    </row>
    <row r="6" spans="1:10" s="341" customFormat="1">
      <c r="C6" s="104"/>
      <c r="D6" s="575">
        <f>'RFPR cover'!$C$6</f>
        <v>2022</v>
      </c>
      <c r="E6" s="575">
        <f>D6+1</f>
        <v>2023</v>
      </c>
      <c r="F6" s="575">
        <f t="shared" ref="F6:H6" si="1">E6+1</f>
        <v>2024</v>
      </c>
      <c r="G6" s="575">
        <f t="shared" si="1"/>
        <v>2025</v>
      </c>
      <c r="H6" s="575">
        <f t="shared" si="1"/>
        <v>2026</v>
      </c>
      <c r="I6" s="479"/>
    </row>
    <row r="7" spans="1:10" s="341" customFormat="1">
      <c r="D7" s="469" t="str">
        <f>RIIO_2_start_date-1&amp;"/"&amp;RIGHT(RIIO_2_start_date,2)</f>
        <v>2021/22</v>
      </c>
      <c r="E7" s="469" t="str">
        <f>RIIO_2_start_date&amp;"/"&amp;RIGHT(RIIO_2_start_date+1,2)</f>
        <v>2022/23</v>
      </c>
      <c r="F7" s="469" t="str">
        <f>RIIO_2_start_date+1&amp;"/"&amp;RIGHT(RIIO_2_start_date+2,2)</f>
        <v>2023/24</v>
      </c>
      <c r="G7" s="469" t="str">
        <f>RIIO_2_start_date+2&amp;"/"&amp;RIGHT(RIIO_2_start_date+3,2)</f>
        <v>2024/25</v>
      </c>
      <c r="H7" s="575" t="str">
        <f>RIIO_2_start_date+3&amp;"/"&amp;RIGHT(RIIO_2_start_date+4,2)</f>
        <v>2025/26</v>
      </c>
      <c r="I7" s="479"/>
    </row>
    <row r="8" spans="1:10" s="341" customFormat="1">
      <c r="I8" s="479"/>
    </row>
    <row r="9" spans="1:10" s="341" customFormat="1">
      <c r="B9" s="732" t="s">
        <v>756</v>
      </c>
      <c r="C9" s="404"/>
      <c r="D9" s="405"/>
      <c r="E9" s="405"/>
      <c r="F9" s="405"/>
      <c r="G9" s="405"/>
      <c r="H9" s="405"/>
      <c r="I9" s="479"/>
    </row>
    <row r="10" spans="1:10" s="341" customFormat="1">
      <c r="B10" s="494"/>
      <c r="C10" s="29"/>
      <c r="I10" s="479"/>
    </row>
    <row r="11" spans="1:10" s="341" customFormat="1">
      <c r="B11" s="494"/>
      <c r="C11" s="29"/>
      <c r="I11" s="479"/>
    </row>
    <row r="12" spans="1:10">
      <c r="B12" s="441" t="s">
        <v>757</v>
      </c>
      <c r="C12" s="29" t="s">
        <v>419</v>
      </c>
      <c r="D12" s="733">
        <v>2.9529999999999998</v>
      </c>
      <c r="E12" s="733">
        <v>1.234</v>
      </c>
      <c r="F12" s="733"/>
      <c r="G12" s="733"/>
      <c r="H12" s="733"/>
      <c r="I12" s="479"/>
      <c r="J12" s="341"/>
    </row>
    <row r="13" spans="1:10">
      <c r="B13" s="577" t="s">
        <v>758</v>
      </c>
      <c r="D13" s="668"/>
      <c r="E13" s="668"/>
      <c r="F13" s="668"/>
      <c r="G13" s="668"/>
      <c r="H13" s="668"/>
      <c r="J13" s="341"/>
    </row>
    <row r="14" spans="1:10">
      <c r="B14" s="104" t="s">
        <v>759</v>
      </c>
      <c r="C14" s="29" t="s">
        <v>419</v>
      </c>
      <c r="D14" s="733">
        <v>2.302</v>
      </c>
      <c r="E14" s="733">
        <v>0.88600000000000001</v>
      </c>
      <c r="F14" s="733"/>
      <c r="G14" s="733"/>
      <c r="H14" s="733"/>
      <c r="I14" s="479"/>
      <c r="J14" s="341"/>
    </row>
    <row r="15" spans="1:10">
      <c r="B15" s="104" t="s">
        <v>760</v>
      </c>
      <c r="C15" s="29" t="s">
        <v>419</v>
      </c>
      <c r="D15" s="733">
        <v>0.65300000000000002</v>
      </c>
      <c r="E15" s="733">
        <v>0.34799999999999998</v>
      </c>
      <c r="F15" s="733"/>
      <c r="G15" s="733"/>
      <c r="H15" s="733"/>
      <c r="I15" s="479"/>
      <c r="J15" s="341"/>
    </row>
    <row r="16" spans="1:10">
      <c r="D16" s="668"/>
      <c r="E16" s="668"/>
      <c r="F16" s="668"/>
      <c r="G16" s="668"/>
      <c r="H16" s="668"/>
      <c r="I16" s="479"/>
      <c r="J16" s="341"/>
    </row>
    <row r="17" spans="2:10">
      <c r="D17" s="668"/>
      <c r="E17" s="668"/>
      <c r="F17" s="668"/>
      <c r="G17" s="668"/>
      <c r="H17" s="668"/>
      <c r="I17" s="479"/>
      <c r="J17" s="341"/>
    </row>
    <row r="18" spans="2:10">
      <c r="B18" s="104" t="s">
        <v>759</v>
      </c>
      <c r="C18" s="650" t="str">
        <f>Data!$C$9</f>
        <v>£m 18/19</v>
      </c>
      <c r="D18" s="259">
        <f t="shared" ref="D18:H18" si="2">D$14/INDEX(real_to_nominal_CF,MATCH(D6,calendar_year,0))</f>
        <v>2.1220823656082195</v>
      </c>
      <c r="E18" s="259">
        <f t="shared" si="2"/>
        <v>0.75087048330766282</v>
      </c>
      <c r="F18" s="259">
        <f t="shared" si="2"/>
        <v>0</v>
      </c>
      <c r="G18" s="259">
        <f t="shared" si="2"/>
        <v>0</v>
      </c>
      <c r="H18" s="259">
        <f t="shared" si="2"/>
        <v>0</v>
      </c>
      <c r="I18" s="479"/>
      <c r="J18" s="341"/>
    </row>
    <row r="19" spans="2:10">
      <c r="D19" s="668"/>
      <c r="E19" s="668"/>
      <c r="F19" s="668"/>
      <c r="G19" s="668"/>
      <c r="H19" s="668"/>
      <c r="I19" s="479"/>
      <c r="J19" s="341"/>
    </row>
    <row r="20" spans="2:10">
      <c r="D20" s="668"/>
      <c r="E20" s="668"/>
      <c r="F20" s="668"/>
      <c r="G20" s="668"/>
      <c r="H20" s="668"/>
      <c r="I20" s="479"/>
      <c r="J20" s="341"/>
    </row>
    <row r="21" spans="2:10" s="341" customFormat="1">
      <c r="B21" s="441" t="s">
        <v>761</v>
      </c>
      <c r="C21" s="650" t="str">
        <f>Data!$C$9</f>
        <v>£m 18/19</v>
      </c>
      <c r="D21" s="659">
        <v>3.0417641563417281</v>
      </c>
      <c r="E21" s="659">
        <v>3.0417641563417281</v>
      </c>
      <c r="F21" s="659">
        <v>3.0417641563417281</v>
      </c>
      <c r="G21" s="659">
        <v>3.0417641563417281</v>
      </c>
      <c r="H21" s="659">
        <v>3.0417641563417281</v>
      </c>
      <c r="I21" s="479"/>
    </row>
    <row r="22" spans="2:10" s="341" customFormat="1">
      <c r="B22" s="104" t="s">
        <v>762</v>
      </c>
      <c r="C22" s="650" t="str">
        <f>Data!$C$9</f>
        <v>£m 18/19</v>
      </c>
      <c r="D22" s="733">
        <v>0.4</v>
      </c>
      <c r="E22" s="733">
        <v>0.4</v>
      </c>
      <c r="F22" s="612"/>
      <c r="G22" s="612"/>
      <c r="H22" s="612"/>
      <c r="I22" s="479"/>
    </row>
    <row r="23" spans="2:10" s="341" customFormat="1">
      <c r="B23" s="441" t="s">
        <v>763</v>
      </c>
      <c r="C23" s="650" t="str">
        <f>Data!$C$9</f>
        <v>£m 18/19</v>
      </c>
      <c r="D23" s="259">
        <f>D21-D22</f>
        <v>2.6417641563417282</v>
      </c>
      <c r="E23" s="259">
        <f t="shared" ref="E23:H23" si="3">E21-E22</f>
        <v>2.6417641563417282</v>
      </c>
      <c r="F23" s="259">
        <f t="shared" si="3"/>
        <v>3.0417641563417281</v>
      </c>
      <c r="G23" s="259">
        <f t="shared" si="3"/>
        <v>3.0417641563417281</v>
      </c>
      <c r="H23" s="259">
        <f t="shared" si="3"/>
        <v>3.0417641563417281</v>
      </c>
      <c r="I23" s="479"/>
    </row>
    <row r="24" spans="2:10" s="341" customFormat="1">
      <c r="B24" s="441"/>
      <c r="C24" s="441"/>
      <c r="D24" s="441"/>
      <c r="E24" s="441"/>
      <c r="F24" s="441"/>
      <c r="G24" s="441"/>
      <c r="H24" s="441"/>
      <c r="I24" s="479"/>
    </row>
    <row r="25" spans="2:10" s="341" customFormat="1">
      <c r="B25" s="441"/>
      <c r="C25" s="441"/>
      <c r="D25" s="804" t="s">
        <v>764</v>
      </c>
      <c r="E25" s="441"/>
      <c r="F25" s="441"/>
      <c r="G25" s="441"/>
      <c r="H25" s="441"/>
      <c r="I25" s="479"/>
    </row>
    <row r="26" spans="2:10" s="341" customFormat="1" ht="12.75" customHeight="1">
      <c r="B26" s="441"/>
      <c r="C26" s="441"/>
      <c r="D26" s="805"/>
      <c r="E26" s="441"/>
      <c r="F26" s="441"/>
      <c r="G26" s="441"/>
      <c r="H26" s="441"/>
      <c r="I26" s="479"/>
    </row>
    <row r="27" spans="2:10">
      <c r="C27" s="441"/>
      <c r="D27" s="806"/>
      <c r="E27" s="441"/>
      <c r="F27" s="441"/>
      <c r="I27" s="479"/>
    </row>
    <row r="28" spans="2:10">
      <c r="B28" s="441" t="s">
        <v>765</v>
      </c>
      <c r="C28" s="441"/>
      <c r="D28" s="734">
        <v>43555</v>
      </c>
      <c r="E28" s="441"/>
      <c r="F28" s="441"/>
      <c r="I28" s="479"/>
    </row>
    <row r="29" spans="2:10">
      <c r="B29" s="441"/>
      <c r="C29" s="441"/>
      <c r="D29" s="735"/>
      <c r="E29" s="441"/>
      <c r="F29" s="441"/>
      <c r="I29" s="479"/>
    </row>
    <row r="30" spans="2:10">
      <c r="B30" s="104" t="s">
        <v>706</v>
      </c>
      <c r="C30" s="441"/>
      <c r="D30" s="736" t="s">
        <v>828</v>
      </c>
      <c r="E30" s="441"/>
      <c r="F30" s="441"/>
      <c r="I30" s="479"/>
    </row>
    <row r="31" spans="2:10">
      <c r="C31" s="441"/>
      <c r="D31" s="441"/>
      <c r="E31" s="441"/>
      <c r="F31" s="441"/>
      <c r="H31" s="356"/>
      <c r="I31" s="479"/>
    </row>
    <row r="32" spans="2:10">
      <c r="B32" s="441"/>
      <c r="F32" s="441"/>
      <c r="I32" s="479"/>
    </row>
    <row r="33" spans="2:9">
      <c r="B33" s="104" t="s">
        <v>766</v>
      </c>
      <c r="C33" s="737" t="str">
        <f>"£m "&amp;$D$30</f>
        <v>£m 18/19</v>
      </c>
      <c r="D33" s="612">
        <v>593</v>
      </c>
      <c r="E33" s="441"/>
      <c r="F33" s="441"/>
      <c r="I33" s="479"/>
    </row>
    <row r="34" spans="2:9">
      <c r="B34" s="104" t="s">
        <v>767</v>
      </c>
      <c r="C34" s="737" t="str">
        <f>"£m "&amp;$D$30</f>
        <v>£m 18/19</v>
      </c>
      <c r="D34" s="612">
        <v>4904.8999999999996</v>
      </c>
      <c r="E34" s="441"/>
      <c r="F34" s="441"/>
      <c r="I34" s="479"/>
    </row>
    <row r="35" spans="2:9">
      <c r="C35" s="738"/>
      <c r="D35" s="668"/>
      <c r="E35" s="441"/>
      <c r="F35" s="441"/>
      <c r="I35" s="479"/>
    </row>
    <row r="36" spans="2:9">
      <c r="B36" s="104" t="s">
        <v>768</v>
      </c>
      <c r="C36" s="737" t="str">
        <f>"£m "&amp;$D$30</f>
        <v>£m 18/19</v>
      </c>
      <c r="D36" s="612">
        <v>516.79999999999995</v>
      </c>
      <c r="I36" s="479"/>
    </row>
    <row r="37" spans="2:9">
      <c r="B37" s="104" t="s">
        <v>769</v>
      </c>
      <c r="C37" s="737" t="str">
        <f>"£m "&amp;$D$30</f>
        <v>£m 18/19</v>
      </c>
      <c r="D37" s="612">
        <v>4178.2</v>
      </c>
      <c r="I37" s="479"/>
    </row>
    <row r="38" spans="2:9">
      <c r="C38" s="738"/>
      <c r="D38" s="668"/>
      <c r="I38" s="479"/>
    </row>
    <row r="39" spans="2:9">
      <c r="B39" s="588" t="s">
        <v>770</v>
      </c>
      <c r="C39" s="737" t="str">
        <f>"£m "&amp;$D$30</f>
        <v>£m 18/19</v>
      </c>
      <c r="D39" s="259">
        <f>D33-D36</f>
        <v>76.200000000000045</v>
      </c>
      <c r="I39" s="479"/>
    </row>
    <row r="40" spans="2:9">
      <c r="B40" s="588" t="s">
        <v>771</v>
      </c>
      <c r="C40" s="737" t="str">
        <f>"£m "&amp;$D$30</f>
        <v>£m 18/19</v>
      </c>
      <c r="D40" s="259">
        <f>D34-D37</f>
        <v>726.69999999999982</v>
      </c>
      <c r="I40" s="479"/>
    </row>
    <row r="41" spans="2:9">
      <c r="C41" s="738"/>
      <c r="D41" s="668"/>
      <c r="I41" s="479"/>
    </row>
    <row r="42" spans="2:9">
      <c r="B42" s="104" t="s">
        <v>772</v>
      </c>
      <c r="C42" s="737" t="str">
        <f>"£m "&amp;$D$30</f>
        <v>£m 18/19</v>
      </c>
      <c r="D42" s="612">
        <v>19</v>
      </c>
      <c r="I42" s="479"/>
    </row>
    <row r="43" spans="2:9">
      <c r="B43" s="104" t="s">
        <v>773</v>
      </c>
      <c r="C43" s="737" t="str">
        <f>"£m "&amp;$D$30</f>
        <v>£m 18/19</v>
      </c>
      <c r="D43" s="612">
        <v>5.4</v>
      </c>
      <c r="I43" s="479"/>
    </row>
    <row r="44" spans="2:9">
      <c r="I44" s="479"/>
    </row>
    <row r="45" spans="2:9">
      <c r="I45" s="479"/>
    </row>
    <row r="46" spans="2:9">
      <c r="I46" s="479"/>
    </row>
    <row r="47" spans="2:9">
      <c r="B47" s="732" t="s">
        <v>774</v>
      </c>
      <c r="C47" s="404"/>
      <c r="D47" s="405"/>
      <c r="E47" s="405"/>
      <c r="F47" s="405"/>
      <c r="G47" s="405"/>
      <c r="H47" s="405"/>
      <c r="I47" s="479"/>
    </row>
    <row r="48" spans="2:9">
      <c r="I48" s="479"/>
    </row>
    <row r="49" spans="1:9">
      <c r="I49" s="479"/>
    </row>
    <row r="50" spans="1:9">
      <c r="I50" s="479"/>
    </row>
    <row r="51" spans="1:9">
      <c r="A51" s="341"/>
      <c r="B51" s="492"/>
      <c r="C51" s="492"/>
      <c r="D51" s="731" t="str">
        <f t="shared" ref="D51:H51" si="4">IF(D52&lt;=Reporting_Year,"Actuals","Forecast")</f>
        <v>Actuals</v>
      </c>
      <c r="E51" s="731" t="str">
        <f t="shared" si="4"/>
        <v>Actuals</v>
      </c>
      <c r="F51" s="731" t="str">
        <f t="shared" si="4"/>
        <v>Forecast</v>
      </c>
      <c r="G51" s="731" t="str">
        <f t="shared" si="4"/>
        <v>Forecast</v>
      </c>
      <c r="H51" s="731" t="str">
        <f t="shared" si="4"/>
        <v>Forecast</v>
      </c>
      <c r="I51" s="479"/>
    </row>
    <row r="52" spans="1:9">
      <c r="A52" s="341"/>
      <c r="B52" s="341"/>
      <c r="C52" s="441"/>
      <c r="D52" s="575">
        <f>'RFPR cover'!$C$6</f>
        <v>2022</v>
      </c>
      <c r="E52" s="575">
        <f t="shared" ref="E52:H52" si="5">D52+1</f>
        <v>2023</v>
      </c>
      <c r="F52" s="575">
        <f t="shared" si="5"/>
        <v>2024</v>
      </c>
      <c r="G52" s="575">
        <f t="shared" si="5"/>
        <v>2025</v>
      </c>
      <c r="H52" s="575">
        <f t="shared" si="5"/>
        <v>2026</v>
      </c>
      <c r="I52" s="479"/>
    </row>
    <row r="53" spans="1:9">
      <c r="D53" s="739"/>
      <c r="E53" s="739"/>
      <c r="F53" s="739"/>
      <c r="G53" s="739"/>
      <c r="H53" s="739"/>
      <c r="I53" s="479"/>
    </row>
    <row r="54" spans="1:9">
      <c r="B54" s="494" t="s">
        <v>775</v>
      </c>
      <c r="C54" s="650" t="str">
        <f>Data!$C$9</f>
        <v>£m 18/19</v>
      </c>
      <c r="D54" s="260">
        <f>(D$62+D$67)/INDEX(real_to_nominal_CF,MATCH('R10 - Pensions &amp; Oth Activities'!D52,calendar_year,0))</f>
        <v>0</v>
      </c>
      <c r="E54" s="260">
        <f>(E$62+E$67)/INDEX(real_to_nominal_CF,MATCH('R10 - Pensions &amp; Oth Activities'!E52,calendar_year,0))</f>
        <v>0</v>
      </c>
      <c r="F54" s="260">
        <f>(F$62+F$67)/INDEX(real_to_nominal_CF,MATCH('R10 - Pensions &amp; Oth Activities'!F52,calendar_year,0))</f>
        <v>0</v>
      </c>
      <c r="G54" s="260">
        <f>(G$62+G$67)/INDEX(real_to_nominal_CF,MATCH('R10 - Pensions &amp; Oth Activities'!G52,calendar_year,0))</f>
        <v>0</v>
      </c>
      <c r="H54" s="260">
        <f>(H$62+H$67)/INDEX(real_to_nominal_CF,MATCH('R10 - Pensions &amp; Oth Activities'!H52,calendar_year,0))</f>
        <v>0</v>
      </c>
      <c r="I54" s="479"/>
    </row>
    <row r="55" spans="1:9">
      <c r="D55" s="739"/>
      <c r="E55" s="739"/>
      <c r="F55" s="739"/>
      <c r="G55" s="739"/>
      <c r="H55" s="739"/>
    </row>
    <row r="56" spans="1:9">
      <c r="B56" s="441" t="s">
        <v>776</v>
      </c>
      <c r="D56" s="739"/>
      <c r="E56" s="739"/>
      <c r="F56" s="739"/>
      <c r="G56" s="739"/>
      <c r="H56" s="739"/>
    </row>
    <row r="57" spans="1:9">
      <c r="B57" s="740" t="s">
        <v>777</v>
      </c>
      <c r="C57" s="29" t="s">
        <v>419</v>
      </c>
      <c r="D57" s="508">
        <v>0</v>
      </c>
      <c r="E57" s="508">
        <v>0</v>
      </c>
      <c r="F57" s="508">
        <v>0</v>
      </c>
      <c r="G57" s="508">
        <v>0</v>
      </c>
      <c r="H57" s="508">
        <v>0</v>
      </c>
    </row>
    <row r="58" spans="1:9">
      <c r="B58" s="740" t="s">
        <v>777</v>
      </c>
      <c r="C58" s="29" t="s">
        <v>419</v>
      </c>
      <c r="D58" s="508">
        <v>0</v>
      </c>
      <c r="E58" s="508">
        <v>0</v>
      </c>
      <c r="F58" s="508">
        <v>0</v>
      </c>
      <c r="G58" s="508">
        <v>0</v>
      </c>
      <c r="H58" s="508">
        <v>0</v>
      </c>
    </row>
    <row r="59" spans="1:9">
      <c r="B59" s="740" t="s">
        <v>690</v>
      </c>
      <c r="C59" s="29" t="s">
        <v>419</v>
      </c>
      <c r="D59" s="508">
        <v>0</v>
      </c>
      <c r="E59" s="508">
        <v>0</v>
      </c>
      <c r="F59" s="508">
        <v>0</v>
      </c>
      <c r="G59" s="508">
        <v>0</v>
      </c>
      <c r="H59" s="508">
        <v>0</v>
      </c>
    </row>
    <row r="60" spans="1:9">
      <c r="B60" s="441" t="s">
        <v>778</v>
      </c>
      <c r="C60" s="29" t="s">
        <v>419</v>
      </c>
      <c r="D60" s="260">
        <f t="shared" ref="D60:H60" si="6">SUM(D57:D59)</f>
        <v>0</v>
      </c>
      <c r="E60" s="260">
        <f t="shared" si="6"/>
        <v>0</v>
      </c>
      <c r="F60" s="260">
        <f t="shared" si="6"/>
        <v>0</v>
      </c>
      <c r="G60" s="260">
        <f t="shared" si="6"/>
        <v>0</v>
      </c>
      <c r="H60" s="260">
        <f t="shared" si="6"/>
        <v>0</v>
      </c>
    </row>
    <row r="61" spans="1:9">
      <c r="B61" s="341" t="s">
        <v>779</v>
      </c>
      <c r="C61" s="29" t="s">
        <v>419</v>
      </c>
      <c r="D61" s="508">
        <v>0</v>
      </c>
      <c r="E61" s="508">
        <v>0</v>
      </c>
      <c r="F61" s="508">
        <v>0</v>
      </c>
      <c r="G61" s="508">
        <v>0</v>
      </c>
      <c r="H61" s="508">
        <v>0</v>
      </c>
    </row>
    <row r="62" spans="1:9">
      <c r="B62" s="494" t="s">
        <v>780</v>
      </c>
      <c r="C62" s="29" t="s">
        <v>419</v>
      </c>
      <c r="D62" s="260">
        <f t="shared" ref="D62:H62" si="7">D60-D61</f>
        <v>0</v>
      </c>
      <c r="E62" s="260">
        <f t="shared" si="7"/>
        <v>0</v>
      </c>
      <c r="F62" s="260">
        <f t="shared" si="7"/>
        <v>0</v>
      </c>
      <c r="G62" s="260">
        <f t="shared" si="7"/>
        <v>0</v>
      </c>
      <c r="H62" s="260">
        <f t="shared" si="7"/>
        <v>0</v>
      </c>
    </row>
    <row r="64" spans="1:9">
      <c r="B64" s="441" t="s">
        <v>781</v>
      </c>
      <c r="D64" s="739"/>
      <c r="E64" s="739"/>
      <c r="F64" s="739"/>
      <c r="G64" s="739"/>
      <c r="H64" s="739"/>
    </row>
    <row r="65" spans="2:8">
      <c r="B65" s="740" t="s">
        <v>782</v>
      </c>
      <c r="C65" s="29" t="s">
        <v>419</v>
      </c>
      <c r="D65" s="508">
        <v>0</v>
      </c>
      <c r="E65" s="508">
        <v>0</v>
      </c>
      <c r="F65" s="508">
        <v>0</v>
      </c>
      <c r="G65" s="508">
        <v>0</v>
      </c>
      <c r="H65" s="508">
        <v>0</v>
      </c>
    </row>
    <row r="66" spans="2:8">
      <c r="B66" s="341" t="s">
        <v>779</v>
      </c>
      <c r="C66" s="29" t="s">
        <v>419</v>
      </c>
      <c r="D66" s="508">
        <v>0</v>
      </c>
      <c r="E66" s="508">
        <v>0</v>
      </c>
      <c r="F66" s="508">
        <v>0</v>
      </c>
      <c r="G66" s="508">
        <v>0</v>
      </c>
      <c r="H66" s="508">
        <v>0</v>
      </c>
    </row>
    <row r="67" spans="2:8">
      <c r="B67" s="494" t="s">
        <v>783</v>
      </c>
      <c r="C67" s="29" t="s">
        <v>419</v>
      </c>
      <c r="D67" s="260">
        <f t="shared" ref="D67:H67" si="8">D65-D66</f>
        <v>0</v>
      </c>
      <c r="E67" s="260">
        <f t="shared" si="8"/>
        <v>0</v>
      </c>
      <c r="F67" s="260">
        <f t="shared" si="8"/>
        <v>0</v>
      </c>
      <c r="G67" s="260">
        <f t="shared" si="8"/>
        <v>0</v>
      </c>
      <c r="H67" s="260">
        <f t="shared" si="8"/>
        <v>0</v>
      </c>
    </row>
  </sheetData>
  <sheetProtection insertRows="0" sort="0" autoFilter="0" pivotTables="0"/>
  <mergeCells count="1">
    <mergeCell ref="D25:D27"/>
  </mergeCells>
  <conditionalFormatting sqref="D25">
    <cfRule type="expression" dxfId="10" priority="12">
      <formula>AND(E$4="Actuals",F$4="Forecast")</formula>
    </cfRule>
  </conditionalFormatting>
  <conditionalFormatting sqref="D5:G6 I5:I12 I14:I54 D51:G52">
    <cfRule type="expression" dxfId="9" priority="15">
      <formula>AND(D$5="Actuals",E$5="Forecast")</formula>
    </cfRule>
  </conditionalFormatting>
  <conditionalFormatting sqref="D6:G6 D52:G52">
    <cfRule type="expression" dxfId="8" priority="22">
      <formula>AND(D$4="Actuals",E$4="Forecast")</formula>
    </cfRule>
  </conditionalFormatting>
  <conditionalFormatting sqref="D7:H7">
    <cfRule type="expression" dxfId="7" priority="3">
      <formula>AND(D$5="Actuals",E$5="Forecast")</formula>
    </cfRule>
  </conditionalFormatting>
  <conditionalFormatting sqref="D12:H12 D14:H15">
    <cfRule type="expression" dxfId="6" priority="16">
      <formula>D$5="Forecast"</formula>
    </cfRule>
    <cfRule type="expression" dxfId="5" priority="17">
      <formula>D$5="Actuals"</formula>
    </cfRule>
  </conditionalFormatting>
  <conditionalFormatting sqref="H5:H6 H51:H52">
    <cfRule type="expression" dxfId="4" priority="276">
      <formula>AND(H$5="Actuals",#REF!="Forecast")</formula>
    </cfRule>
  </conditionalFormatting>
  <conditionalFormatting sqref="H6 H52">
    <cfRule type="expression" dxfId="3" priority="268">
      <formula>AND(H$4="Actuals",#REF!="Forecast")</formula>
    </cfRule>
  </conditionalFormatting>
  <conditionalFormatting sqref="J17:J22">
    <cfRule type="expression" dxfId="2" priority="288">
      <formula>AND(I$5="Actuals",J$5="Forecast")</formula>
    </cfRule>
  </conditionalFormatting>
  <conditionalFormatting sqref="D22:E22">
    <cfRule type="expression" dxfId="1" priority="1">
      <formula>D$5="Forecast"</formula>
    </cfRule>
    <cfRule type="expression" dxfId="0" priority="2">
      <formula>D$5="Actuals"</formula>
    </cfRule>
  </conditionalFormatting>
  <pageMargins left="0.70866141732283472" right="0.70866141732283472" top="0.74803149606299213" bottom="0.74803149606299213" header="0.31496062992125984" footer="0.31496062992125984"/>
  <pageSetup paperSize="8" orientation="landscape" r:id="rId1"/>
  <headerFooter>
    <oddFooter>&amp;C&amp;"Calibri"&amp;11&amp;K000000_x000D_&amp;1#&amp;"Calibri"&amp;12&amp;K008000Internal Use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BB7352BA6E894FBC0BAC780BB5B36A" ma:contentTypeVersion="5" ma:contentTypeDescription="Create a new document." ma:contentTypeScope="" ma:versionID="fd2c1eed7c24942ae41227be9d8331a7">
  <xsd:schema xmlns:xsd="http://www.w3.org/2001/XMLSchema" xmlns:xs="http://www.w3.org/2001/XMLSchema" xmlns:p="http://schemas.microsoft.com/office/2006/metadata/properties" xmlns:ns2="190aea0a-3449-4e78-9ae2-f45d94fe98b1" xmlns:ns3="7861555e-c14e-433a-8767-747d7bfc55ff" targetNamespace="http://schemas.microsoft.com/office/2006/metadata/properties" ma:root="true" ma:fieldsID="d7c170d9ccd45374361e2a630c76685d" ns2:_="" ns3:_="">
    <xsd:import namespace="190aea0a-3449-4e78-9ae2-f45d94fe98b1"/>
    <xsd:import namespace="7861555e-c14e-433a-8767-747d7bfc55f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0aea0a-3449-4e78-9ae2-f45d94fe98b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61555e-c14e-433a-8767-747d7bfc55f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_dlc_DocId xmlns="190aea0a-3449-4e78-9ae2-f45d94fe98b1">UKNKSTZ3DXTH-2120769323-219</_dlc_DocId>
    <_dlc_DocIdUrl xmlns="190aea0a-3449-4e78-9ae2-f45d94fe98b1">
      <Url>https://iberdrola.sharepoint.com/sites/spen-npr-licfin/_layouts/15/DocIdRedir.aspx?ID=UKNKSTZ3DXTH-2120769323-219</Url>
      <Description>UKNKSTZ3DXTH-2120769323-219</Description>
    </_dlc_DocIdUrl>
  </documentManagement>
</p:properties>
</file>

<file path=customXml/item6.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92958BA8-1108-4865-A20E-1CEE0B6FBF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0aea0a-3449-4e78-9ae2-f45d94fe98b1"/>
    <ds:schemaRef ds:uri="7861555e-c14e-433a-8767-747d7bfc5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3.xml><?xml version="1.0" encoding="utf-8"?>
<ds:datastoreItem xmlns:ds="http://schemas.openxmlformats.org/officeDocument/2006/customXml" ds:itemID="{DD50FDD0-4353-40B7-BB29-D2A404815964}">
  <ds:schemaRefs>
    <ds:schemaRef ds:uri="http://schemas.microsoft.com/sharepoint/events"/>
  </ds:schemaRefs>
</ds:datastoreItem>
</file>

<file path=customXml/itemProps4.xml><?xml version="1.0" encoding="utf-8"?>
<ds:datastoreItem xmlns:ds="http://schemas.openxmlformats.org/officeDocument/2006/customXml" ds:itemID="{ED8114B6-BDD8-4CB5-AA20-4A909702B5CF}">
  <ds:schemaRefs>
    <ds:schemaRef ds:uri="http://schemas.microsoft.com/DataMashup"/>
  </ds:schemaRefs>
</ds:datastoreItem>
</file>

<file path=customXml/itemProps5.xml><?xml version="1.0" encoding="utf-8"?>
<ds:datastoreItem xmlns:ds="http://schemas.openxmlformats.org/officeDocument/2006/customXml" ds:itemID="{CC285FE4-1466-4BF7-8FA9-67F63A3D57B8}">
  <ds:schemaRefs>
    <ds:schemaRef ds:uri="http://purl.org/dc/dcmitype/"/>
    <ds:schemaRef ds:uri="http://www.w3.org/XML/1998/namespace"/>
    <ds:schemaRef ds:uri="http://schemas.microsoft.com/office/infopath/2007/PartnerControls"/>
    <ds:schemaRef ds:uri="http://purl.org/dc/elements/1.1/"/>
    <ds:schemaRef ds:uri="http://purl.org/dc/terms/"/>
    <ds:schemaRef ds:uri="http://schemas.microsoft.com/office/2006/documentManagement/types"/>
    <ds:schemaRef ds:uri="f35b5cbd-7b0b-4440-92cd-b510cab4ec67"/>
    <ds:schemaRef ds:uri="http://schemas.openxmlformats.org/package/2006/metadata/core-properties"/>
    <ds:schemaRef ds:uri="b1b6b1d3-9b1c-419f-ba2e-fefc168d435a"/>
    <ds:schemaRef ds:uri="http://schemas.microsoft.com/sharepoint/v3"/>
    <ds:schemaRef ds:uri="http://schemas.microsoft.com/office/2006/metadata/properties"/>
    <ds:schemaRef ds:uri="190aea0a-3449-4e78-9ae2-f45d94fe98b1"/>
  </ds:schemaRefs>
</ds:datastoreItem>
</file>

<file path=customXml/itemProps6.xml><?xml version="1.0" encoding="utf-8"?>
<ds:datastoreItem xmlns:ds="http://schemas.openxmlformats.org/officeDocument/2006/customXml" ds:itemID="{4BE9F8A6-8FC3-4C72-AA23-49843F2C7E0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62</vt:i4>
      </vt:variant>
    </vt:vector>
  </HeadingPairs>
  <TitlesOfParts>
    <vt:vector size="76"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R6 - Net Debt</vt:lpstr>
      <vt:lpstr>R7 - RAV</vt:lpstr>
      <vt:lpstr>R8 - Tax</vt:lpstr>
      <vt:lpstr>R9 - Corporate Governance</vt:lpstr>
      <vt:lpstr>R10 - Pensions &amp; Oth Activities</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'R6 - Net Debt'!Print_Area</vt:lpstr>
      <vt:lpstr>'R7 - RAV'!Print_Area</vt:lpstr>
      <vt:lpstr>'R8 - Tax'!Print_Area</vt:lpstr>
      <vt:lpstr>'R9 - Corporate Governance'!Print_Area</vt:lpstr>
      <vt:lpstr>'RFPR cover'!Print_Area</vt:lpstr>
      <vt:lpstr>real_to_nominal_CF</vt:lpstr>
      <vt:lpstr>Reporting_Year</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 template v.2.0</dc:title>
  <dc:subject/>
  <dc:creator>Mick Watson</dc:creator>
  <cp:keywords/>
  <dc:description/>
  <cp:lastModifiedBy>Holland, David</cp:lastModifiedBy>
  <cp:revision/>
  <dcterms:created xsi:type="dcterms:W3CDTF">2018-06-13T08:32:09Z</dcterms:created>
  <dcterms:modified xsi:type="dcterms:W3CDTF">2023-09-29T16:28:24Z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71b7edfb-c37d-4036-94b6-6753b1a87eed</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0x01010028BB7352BA6E894FBC0BAC780BB5B36A</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MSIP_Label_2b73dd0b-afe1-4a46-943f-1bdb914b8a49_Enabled">
    <vt:lpwstr>true</vt:lpwstr>
  </property>
  <property fmtid="{D5CDD505-2E9C-101B-9397-08002B2CF9AE}" pid="14" name="MSIP_Label_2b73dd0b-afe1-4a46-943f-1bdb914b8a49_SetDate">
    <vt:lpwstr>2020-07-13T09:54:54Z</vt:lpwstr>
  </property>
  <property fmtid="{D5CDD505-2E9C-101B-9397-08002B2CF9AE}" pid="15" name="MSIP_Label_2b73dd0b-afe1-4a46-943f-1bdb914b8a49_Method">
    <vt:lpwstr>Standard</vt:lpwstr>
  </property>
  <property fmtid="{D5CDD505-2E9C-101B-9397-08002B2CF9AE}" pid="16" name="MSIP_Label_2b73dd0b-afe1-4a46-943f-1bdb914b8a49_Name">
    <vt:lpwstr>Internal</vt:lpwstr>
  </property>
  <property fmtid="{D5CDD505-2E9C-101B-9397-08002B2CF9AE}" pid="17" name="MSIP_Label_2b73dd0b-afe1-4a46-943f-1bdb914b8a49_SiteId">
    <vt:lpwstr>b9563cbc-9874-41ab-b448-7e0f61aff3eb</vt:lpwstr>
  </property>
  <property fmtid="{D5CDD505-2E9C-101B-9397-08002B2CF9AE}" pid="18" name="MSIP_Label_2b73dd0b-afe1-4a46-943f-1bdb914b8a49_ActionId">
    <vt:lpwstr>eb8bee18-e589-4e0d-b159-000055dbdde8</vt:lpwstr>
  </property>
  <property fmtid="{D5CDD505-2E9C-101B-9397-08002B2CF9AE}" pid="19" name="MSIP_Label_2b73dd0b-afe1-4a46-943f-1bdb914b8a49_ContentBits">
    <vt:lpwstr>2</vt:lpwstr>
  </property>
  <property fmtid="{D5CDD505-2E9C-101B-9397-08002B2CF9AE}" pid="20" name="bjClsUserRVM">
    <vt:lpwstr>[]</vt:lpwstr>
  </property>
  <property fmtid="{D5CDD505-2E9C-101B-9397-08002B2CF9AE}" pid="21" name="bjDocumentSecurityLabel">
    <vt:lpwstr>OFFICIAL</vt:lpwstr>
  </property>
  <property fmtid="{D5CDD505-2E9C-101B-9397-08002B2CF9AE}" pid="22"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3" name="bjDocumentLabelXML-0">
    <vt:lpwstr>ames.com/2008/01/sie/internal/label"&gt;&lt;element uid="id_classification_nonbusiness" value="" /&gt;&lt;/sisl&gt;</vt:lpwstr>
  </property>
  <property fmtid="{D5CDD505-2E9C-101B-9397-08002B2CF9AE}" pid="24" name="MediaServiceImageTags">
    <vt:lpwstr/>
  </property>
  <property fmtid="{D5CDD505-2E9C-101B-9397-08002B2CF9AE}" pid="25" name="MSIP_Label_38144ccb-b10a-4c0f-b070-7a3b00ac7463_Enabled">
    <vt:lpwstr>true</vt:lpwstr>
  </property>
  <property fmtid="{D5CDD505-2E9C-101B-9397-08002B2CF9AE}" pid="26" name="MSIP_Label_38144ccb-b10a-4c0f-b070-7a3b00ac7463_SetDate">
    <vt:lpwstr>2022-05-27T11:21:22Z</vt:lpwstr>
  </property>
  <property fmtid="{D5CDD505-2E9C-101B-9397-08002B2CF9AE}" pid="27" name="MSIP_Label_38144ccb-b10a-4c0f-b070-7a3b00ac7463_Method">
    <vt:lpwstr>Standard</vt:lpwstr>
  </property>
  <property fmtid="{D5CDD505-2E9C-101B-9397-08002B2CF9AE}" pid="28" name="MSIP_Label_38144ccb-b10a-4c0f-b070-7a3b00ac7463_Name">
    <vt:lpwstr>InternalOnly</vt:lpwstr>
  </property>
  <property fmtid="{D5CDD505-2E9C-101B-9397-08002B2CF9AE}" pid="29" name="MSIP_Label_38144ccb-b10a-4c0f-b070-7a3b00ac7463_SiteId">
    <vt:lpwstr>185562ad-39bc-4840-8e40-be6216340c52</vt:lpwstr>
  </property>
  <property fmtid="{D5CDD505-2E9C-101B-9397-08002B2CF9AE}" pid="30" name="MSIP_Label_38144ccb-b10a-4c0f-b070-7a3b00ac7463_ActionId">
    <vt:lpwstr>e0564de4-bc5c-4fe1-932a-3f653e36482c</vt:lpwstr>
  </property>
  <property fmtid="{D5CDD505-2E9C-101B-9397-08002B2CF9AE}" pid="31" name="MSIP_Label_38144ccb-b10a-4c0f-b070-7a3b00ac7463_ContentBits">
    <vt:lpwstr>2</vt:lpwstr>
  </property>
  <property fmtid="{D5CDD505-2E9C-101B-9397-08002B2CF9AE}" pid="32" name="Comparison_Data2RowInsertions47">
    <vt:lpwstr/>
  </property>
  <property fmtid="{D5CDD505-2E9C-101B-9397-08002B2CF9AE}" pid="33" name="Comparison_Data2ColumnInsertions48">
    <vt:lpwstr/>
  </property>
  <property fmtid="{D5CDD505-2E9C-101B-9397-08002B2CF9AE}" pid="34" name="Comparison_Content &amp; Version Control3RowInsertions49">
    <vt:lpwstr/>
  </property>
  <property fmtid="{D5CDD505-2E9C-101B-9397-08002B2CF9AE}" pid="35" name="Comparison_Content &amp; Version Control3ColumnInsertions50">
    <vt:lpwstr/>
  </property>
  <property fmtid="{D5CDD505-2E9C-101B-9397-08002B2CF9AE}" pid="36" name="Comparison_Change log4RowInsertions51">
    <vt:lpwstr/>
  </property>
  <property fmtid="{D5CDD505-2E9C-101B-9397-08002B2CF9AE}" pid="37" name="Comparison_Change log4ColumnInsertions52">
    <vt:lpwstr/>
  </property>
  <property fmtid="{D5CDD505-2E9C-101B-9397-08002B2CF9AE}" pid="38" name="Comparison_R1 - RoRE5RowInsertions53">
    <vt:lpwstr/>
  </property>
  <property fmtid="{D5CDD505-2E9C-101B-9397-08002B2CF9AE}" pid="39" name="Comparison_R1 - RoRE5ColumnInsertions54">
    <vt:lpwstr/>
  </property>
  <property fmtid="{D5CDD505-2E9C-101B-9397-08002B2CF9AE}" pid="40" name="Comparison_R2 - Rec to Revenue and Profit6RowInsertions55">
    <vt:lpwstr/>
  </property>
  <property fmtid="{D5CDD505-2E9C-101B-9397-08002B2CF9AE}" pid="41" name="Comparison_R2 - Rec to Revenue and Profit6ColumnInsertions56">
    <vt:lpwstr/>
  </property>
  <property fmtid="{D5CDD505-2E9C-101B-9397-08002B2CF9AE}" pid="42" name="Comparison_R3 - Totex - Reconciliation7RowInsertions57">
    <vt:lpwstr/>
  </property>
  <property fmtid="{D5CDD505-2E9C-101B-9397-08002B2CF9AE}" pid="43" name="Comparison_R3 - Totex - Reconciliation7ColumnInsertions58">
    <vt:lpwstr/>
  </property>
  <property fmtid="{D5CDD505-2E9C-101B-9397-08002B2CF9AE}" pid="44" name="Comparison_R4 - Incentives and Other Rev8RowInsertions59">
    <vt:lpwstr/>
  </property>
  <property fmtid="{D5CDD505-2E9C-101B-9397-08002B2CF9AE}" pid="45" name="Comparison_R4 - Incentives and Other Rev8ColumnInsertions60">
    <vt:lpwstr/>
  </property>
  <property fmtid="{D5CDD505-2E9C-101B-9397-08002B2CF9AE}" pid="46" name="Comparison_R5 - Financing9RowInsertions61">
    <vt:lpwstr/>
  </property>
  <property fmtid="{D5CDD505-2E9C-101B-9397-08002B2CF9AE}" pid="47" name="Comparison_R5 - Financing9ColumnInsertions62">
    <vt:lpwstr/>
  </property>
  <property fmtid="{D5CDD505-2E9C-101B-9397-08002B2CF9AE}" pid="48" name="Comparison_R5a - Financing input10RowInsertions63">
    <vt:lpwstr/>
  </property>
  <property fmtid="{D5CDD505-2E9C-101B-9397-08002B2CF9AE}" pid="49" name="Comparison_R5a - Financing input10ColumnInsertions64">
    <vt:lpwstr/>
  </property>
  <property fmtid="{D5CDD505-2E9C-101B-9397-08002B2CF9AE}" pid="50" name="Comparison_R6 - Net Debt11RowInsertions65">
    <vt:lpwstr/>
  </property>
  <property fmtid="{D5CDD505-2E9C-101B-9397-08002B2CF9AE}" pid="51" name="Comparison_R6 - Net Debt11ColumnInsertions66">
    <vt:lpwstr/>
  </property>
  <property fmtid="{D5CDD505-2E9C-101B-9397-08002B2CF9AE}" pid="52" name="Comparison_R6a - Net Debt input12RowInsertions67">
    <vt:lpwstr/>
  </property>
  <property fmtid="{D5CDD505-2E9C-101B-9397-08002B2CF9AE}" pid="53" name="Comparison_R6a - Net Debt input12ColumnInsertions68">
    <vt:lpwstr/>
  </property>
  <property fmtid="{D5CDD505-2E9C-101B-9397-08002B2CF9AE}" pid="54" name="Comparison_R7 - RAV13RowInsertions69">
    <vt:lpwstr/>
  </property>
  <property fmtid="{D5CDD505-2E9C-101B-9397-08002B2CF9AE}" pid="55" name="Comparison_R7 - RAV13ColumnInsertions70">
    <vt:lpwstr/>
  </property>
  <property fmtid="{D5CDD505-2E9C-101B-9397-08002B2CF9AE}" pid="56" name="Comparison_R8 - Tax14RowInsertions71">
    <vt:lpwstr/>
  </property>
  <property fmtid="{D5CDD505-2E9C-101B-9397-08002B2CF9AE}" pid="57" name="Comparison_R8 - Tax14ColumnInsertions72">
    <vt:lpwstr/>
  </property>
  <property fmtid="{D5CDD505-2E9C-101B-9397-08002B2CF9AE}" pid="58" name="Comparison_R8a - Tax Reconciliation15RowInsertions73">
    <vt:lpwstr/>
  </property>
  <property fmtid="{D5CDD505-2E9C-101B-9397-08002B2CF9AE}" pid="59" name="Comparison_R8a - Tax Reconciliation15ColumnInsertions74">
    <vt:lpwstr/>
  </property>
  <property fmtid="{D5CDD505-2E9C-101B-9397-08002B2CF9AE}" pid="60" name="Comparison_R9 - Corporate Governance16RowInsertions75">
    <vt:lpwstr/>
  </property>
  <property fmtid="{D5CDD505-2E9C-101B-9397-08002B2CF9AE}" pid="61" name="Comparison_R9 - Corporate Governance16ColumnInsertions76">
    <vt:lpwstr/>
  </property>
  <property fmtid="{D5CDD505-2E9C-101B-9397-08002B2CF9AE}" pid="62" name="Comparison_R10 - Pensions &amp; Oth Activities17RowInsertions77">
    <vt:lpwstr/>
  </property>
  <property fmtid="{D5CDD505-2E9C-101B-9397-08002B2CF9AE}" pid="63" name="Comparison_R10 - Pensions &amp; Oth Activities17ColumnInsertions78">
    <vt:lpwstr/>
  </property>
  <property fmtid="{D5CDD505-2E9C-101B-9397-08002B2CF9AE}" pid="64" name="Comparison_Input sheets for R5a and R6a&gt;&gt;&gt;18RowInsertions79">
    <vt:lpwstr/>
  </property>
  <property fmtid="{D5CDD505-2E9C-101B-9397-08002B2CF9AE}" pid="65" name="Comparison_Input sheets for R5a and R6a&gt;&gt;&gt;18ColumnInsertions80">
    <vt:lpwstr/>
  </property>
  <property fmtid="{D5CDD505-2E9C-101B-9397-08002B2CF9AE}" pid="66" name="Comparison_F3 - Fixed Rate Debt19RowInsertions81">
    <vt:lpwstr/>
  </property>
  <property fmtid="{D5CDD505-2E9C-101B-9397-08002B2CF9AE}" pid="67" name="Comparison_F3 - Fixed Rate Debt19ColumnInsertions82">
    <vt:lpwstr/>
  </property>
  <property fmtid="{D5CDD505-2E9C-101B-9397-08002B2CF9AE}" pid="68" name="Comparison_F4 - Floating Rate Debt20RowInsertions83">
    <vt:lpwstr/>
  </property>
  <property fmtid="{D5CDD505-2E9C-101B-9397-08002B2CF9AE}" pid="69" name="Comparison_F4 - Floating Rate Debt20ColumnInsertions84">
    <vt:lpwstr/>
  </property>
  <property fmtid="{D5CDD505-2E9C-101B-9397-08002B2CF9AE}" pid="70" name="Comparison_F5 - Inflation Linked Debt21RowInsertions85">
    <vt:lpwstr/>
  </property>
  <property fmtid="{D5CDD505-2E9C-101B-9397-08002B2CF9AE}" pid="71" name="Comparison_F5 - Inflation Linked Debt21ColumnInsertions86">
    <vt:lpwstr/>
  </property>
  <property fmtid="{D5CDD505-2E9C-101B-9397-08002B2CF9AE}" pid="72" name="Comparison_F6 - Debt Dataset22RowInsertions87">
    <vt:lpwstr/>
  </property>
  <property fmtid="{D5CDD505-2E9C-101B-9397-08002B2CF9AE}" pid="73" name="Comparison_F6 - Debt Dataset22ColumnInsertions88">
    <vt:lpwstr/>
  </property>
  <property fmtid="{D5CDD505-2E9C-101B-9397-08002B2CF9AE}" pid="74" name="Comparison_I1 - Universal Data23RowInsertions89">
    <vt:lpwstr/>
  </property>
  <property fmtid="{D5CDD505-2E9C-101B-9397-08002B2CF9AE}" pid="75" name="Comparison_I1 - Universal Data23ColumnInsertions90">
    <vt:lpwstr/>
  </property>
  <property fmtid="{D5CDD505-2E9C-101B-9397-08002B2CF9AE}" pid="76" name="Comparison_I2 - Monthly Inflation24RowInsertions91">
    <vt:lpwstr/>
  </property>
  <property fmtid="{D5CDD505-2E9C-101B-9397-08002B2CF9AE}" pid="77" name="Comparison_I2 - Monthly Inflation24ColumnInsertions92">
    <vt:lpwstr/>
  </property>
  <property fmtid="{D5CDD505-2E9C-101B-9397-08002B2CF9AE}" pid="78" name="_dlc_DocIdItemGuid">
    <vt:lpwstr>dc36be94-793f-475b-8b9a-e150e46e8324</vt:lpwstr>
  </property>
  <property fmtid="{D5CDD505-2E9C-101B-9397-08002B2CF9AE}" pid="79" name="MSIP_Label_019c027e-33b7-45fc-a572-8ffa5d09ec36_Enabled">
    <vt:lpwstr>true</vt:lpwstr>
  </property>
  <property fmtid="{D5CDD505-2E9C-101B-9397-08002B2CF9AE}" pid="80" name="MSIP_Label_019c027e-33b7-45fc-a572-8ffa5d09ec36_SetDate">
    <vt:lpwstr>2023-09-29T16:28:23Z</vt:lpwstr>
  </property>
  <property fmtid="{D5CDD505-2E9C-101B-9397-08002B2CF9AE}" pid="81" name="MSIP_Label_019c027e-33b7-45fc-a572-8ffa5d09ec36_Method">
    <vt:lpwstr>Standard</vt:lpwstr>
  </property>
  <property fmtid="{D5CDD505-2E9C-101B-9397-08002B2CF9AE}" pid="82" name="MSIP_Label_019c027e-33b7-45fc-a572-8ffa5d09ec36_Name">
    <vt:lpwstr>Internal Use</vt:lpwstr>
  </property>
  <property fmtid="{D5CDD505-2E9C-101B-9397-08002B2CF9AE}" pid="83" name="MSIP_Label_019c027e-33b7-45fc-a572-8ffa5d09ec36_SiteId">
    <vt:lpwstr>031a09bc-a2bf-44df-888e-4e09355b7a24</vt:lpwstr>
  </property>
  <property fmtid="{D5CDD505-2E9C-101B-9397-08002B2CF9AE}" pid="84" name="MSIP_Label_019c027e-33b7-45fc-a572-8ffa5d09ec36_ActionId">
    <vt:lpwstr>76ecc1aa-d545-45f0-a1d4-bb87752daefc</vt:lpwstr>
  </property>
  <property fmtid="{D5CDD505-2E9C-101B-9397-08002B2CF9AE}" pid="85" name="MSIP_Label_019c027e-33b7-45fc-a572-8ffa5d09ec36_ContentBits">
    <vt:lpwstr>2</vt:lpwstr>
  </property>
</Properties>
</file>