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userName="Holland, David" algorithmName="SHA-512" hashValue="lIkj2ij6uMVz8IOC1gvoUCcoK+uva09OOpGsTUBldiGree0AvvNqofnE+SAaxocKYsrfqSuqNAh5aEb8cIgWEA==" saltValue="XxzZ47d2liIoXOqtKTpH0Q==" spinCount="100000"/>
  <workbookPr codeName="ThisWorkbook"/>
  <mc:AlternateContent xmlns:mc="http://schemas.openxmlformats.org/markup-compatibility/2006">
    <mc:Choice Requires="x15">
      <x15ac:absPath xmlns:x15ac="http://schemas.microsoft.com/office/spreadsheetml/2010/11/ac" url="http://spwshare/ensites/reg/licfin/RFPR 2122/01_Consol/02_Final/Website/"/>
    </mc:Choice>
  </mc:AlternateContent>
  <xr:revisionPtr revIDLastSave="0" documentId="14_{D075B8C4-75A9-4688-B6A8-D9552F6E9A0F}" xr6:coauthVersionLast="47" xr6:coauthVersionMax="47" xr10:uidLastSave="{00000000-0000-0000-0000-000000000000}"/>
  <bookViews>
    <workbookView xWindow="-120" yWindow="-120" windowWidth="20730" windowHeight="11160" tabRatio="827"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s>
  <externalReferences>
    <externalReference r:id="rId15"/>
    <externalReference r:id="rId16"/>
    <externalReference r:id="rId17"/>
    <externalReference r:id="rId18"/>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'R1 - RoRE'!$D$67:$H$67</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Data!$C$18:$N$18</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'R1 - RoRE'!$D$84:$H$84</definedName>
    <definedName name="Debt_performance___impact_of_actual_gearing">'R1 - RoRE'!$D$85:$H$85</definedName>
    <definedName name="DecimalPlaces">'[2]Check Sheet'!$K$9</definedName>
    <definedName name="DLGT">'[1]R12 DPCR4 Losses and Growth'!$G$9:$N$9</definedName>
    <definedName name="DNOName">'[2]Cover Sheet'!$D$20:$D$33</definedName>
    <definedName name="DR5Q">'[1]R5 Input Page'!$E$81:$F$81</definedName>
    <definedName name="ENIA">'[1]R5 Input Page'!$G$122:$N$122</definedName>
    <definedName name="Equity_RAV_based_on_actual_gearing">'R1 - RoRE'!$D$91:$H$91</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Data!$C$8</definedName>
    <definedName name="NPV_neutral_equity_element_of_RAV">'R1 - RoRE'!$D$90:$H$90</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'[1]R5 Input Page'!$G$103:$N$103</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3">'R10 -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'R9 - Corporate Governance'!$A$1:$I$18</definedName>
    <definedName name="_xlnm.Print_Area" localSheetId="0">'RFPR cover'!$A$2:$K$82</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[3]!Features_table[[#All],[Column1]]</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'[4]Pension Pack cover'!$B$80:$B$99</definedName>
    <definedName name="YEFactor">Data!$E$28:$L$28</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2" i="2" l="1"/>
  <c r="I5" i="10" l="1"/>
  <c r="H5" i="10"/>
  <c r="G5" i="10"/>
  <c r="F5" i="10"/>
  <c r="E5" i="10"/>
  <c r="E27" i="10" s="1"/>
  <c r="E26" i="10" l="1"/>
  <c r="D178" i="2" l="1"/>
  <c r="F65" i="4" l="1"/>
  <c r="D54" i="5" l="1"/>
  <c r="A3" i="29" l="1"/>
  <c r="E6" i="29"/>
  <c r="E5" i="29" s="1"/>
  <c r="E7" i="29"/>
  <c r="F26" i="10"/>
  <c r="I26" i="10"/>
  <c r="H26" i="10"/>
  <c r="G26" i="10"/>
  <c r="F191" i="28"/>
  <c r="F190" i="28"/>
  <c r="F79" i="28"/>
  <c r="H59" i="2"/>
  <c r="G59" i="2"/>
  <c r="F59" i="2"/>
  <c r="E59" i="2"/>
  <c r="D59" i="2"/>
  <c r="J58" i="2"/>
  <c r="J57" i="2"/>
  <c r="H30" i="2"/>
  <c r="G30" i="2"/>
  <c r="F30" i="2"/>
  <c r="E30" i="2"/>
  <c r="D30" i="2"/>
  <c r="J29" i="2"/>
  <c r="J28" i="2"/>
  <c r="D55" i="5"/>
  <c r="F101" i="4"/>
  <c r="G101" i="4"/>
  <c r="H101" i="4"/>
  <c r="I101" i="4"/>
  <c r="E101" i="4"/>
  <c r="D7" i="2"/>
  <c r="J59" i="2" l="1"/>
  <c r="J30" i="2"/>
  <c r="E57" i="11" l="1"/>
  <c r="F57" i="11"/>
  <c r="G57" i="11"/>
  <c r="H57" i="11"/>
  <c r="D57" i="11"/>
  <c r="E25" i="28" l="1"/>
  <c r="D27" i="28"/>
  <c r="E55" i="5"/>
  <c r="F55" i="5"/>
  <c r="G55" i="5"/>
  <c r="H55" i="5"/>
  <c r="D48" i="5"/>
  <c r="E41" i="5"/>
  <c r="F41" i="5"/>
  <c r="G41" i="5"/>
  <c r="H41" i="5"/>
  <c r="D41" i="5"/>
  <c r="D24" i="28" l="1"/>
  <c r="B76" i="1" l="1"/>
  <c r="B49" i="1" s="1"/>
  <c r="H54" i="5"/>
  <c r="G54" i="5"/>
  <c r="F54" i="5"/>
  <c r="E54" i="5"/>
  <c r="B22" i="1" l="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F23" i="10" l="1"/>
  <c r="G23" i="10"/>
  <c r="H23" i="10"/>
  <c r="I23" i="10"/>
  <c r="E23" i="10"/>
  <c r="F20" i="10"/>
  <c r="G20" i="10"/>
  <c r="H20" i="10"/>
  <c r="I20" i="10"/>
  <c r="E20" i="10"/>
  <c r="E143" i="2" l="1"/>
  <c r="F143" i="2"/>
  <c r="G143" i="2"/>
  <c r="H143" i="2"/>
  <c r="E134" i="2"/>
  <c r="F74" i="4" s="1"/>
  <c r="F134" i="2"/>
  <c r="G74" i="4" s="1"/>
  <c r="G134" i="2"/>
  <c r="G144" i="2" s="1"/>
  <c r="H134" i="2"/>
  <c r="H144" i="2" s="1"/>
  <c r="D134" i="2"/>
  <c r="D143" i="2"/>
  <c r="D144" i="2" l="1"/>
  <c r="F144" i="2"/>
  <c r="I74" i="4"/>
  <c r="E74" i="4"/>
  <c r="E144" i="2"/>
  <c r="H74" i="4"/>
  <c r="F88" i="4" l="1"/>
  <c r="F90" i="4" s="1"/>
  <c r="G88" i="4"/>
  <c r="G90" i="4" s="1"/>
  <c r="H88" i="4"/>
  <c r="H90" i="4" s="1"/>
  <c r="I88" i="4"/>
  <c r="I90" i="4" s="1"/>
  <c r="C43" i="19" l="1"/>
  <c r="C42" i="19"/>
  <c r="C40" i="19"/>
  <c r="C39" i="19"/>
  <c r="C37" i="19"/>
  <c r="C36" i="19"/>
  <c r="C34" i="19"/>
  <c r="C33" i="19"/>
  <c r="C13" i="4" l="1"/>
  <c r="C14" i="4"/>
  <c r="C15" i="4"/>
  <c r="C16" i="4"/>
  <c r="C17" i="4"/>
  <c r="C18" i="4"/>
  <c r="H83" i="2" l="1"/>
  <c r="G83" i="2"/>
  <c r="F83" i="2"/>
  <c r="E83" i="2"/>
  <c r="D83" i="2"/>
  <c r="J82" i="2"/>
  <c r="J81" i="2"/>
  <c r="J53" i="2"/>
  <c r="J83" i="2" l="1"/>
  <c r="J24" i="2" l="1"/>
  <c r="B3" i="1" l="1"/>
  <c r="F68" i="4" l="1"/>
  <c r="G68" i="4"/>
  <c r="H68" i="4"/>
  <c r="I68" i="4"/>
  <c r="E68" i="4"/>
  <c r="E88" i="4"/>
  <c r="E90" i="4" s="1"/>
  <c r="D61" i="11" l="1"/>
  <c r="F67" i="4" l="1"/>
  <c r="G67" i="4"/>
  <c r="H67" i="4"/>
  <c r="I67" i="4"/>
  <c r="E67" i="4"/>
  <c r="B3" i="17" l="1"/>
  <c r="B3" i="27" l="1"/>
  <c r="C8" i="28"/>
  <c r="G36" i="10" s="1"/>
  <c r="E17" i="2"/>
  <c r="E46" i="2"/>
  <c r="E75" i="2"/>
  <c r="D6" i="5"/>
  <c r="C8" i="13"/>
  <c r="F26" i="28" s="1"/>
  <c r="F17" i="2"/>
  <c r="F46" i="2"/>
  <c r="F75" i="2"/>
  <c r="G17" i="2"/>
  <c r="G46" i="2"/>
  <c r="G75" i="2"/>
  <c r="H17" i="2"/>
  <c r="H46" i="2"/>
  <c r="H75" i="2"/>
  <c r="D17" i="2"/>
  <c r="D46" i="2"/>
  <c r="D75" i="2"/>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K17" i="28"/>
  <c r="L17" i="28" s="1"/>
  <c r="M17" i="28" s="1"/>
  <c r="N17" i="28" s="1"/>
  <c r="K16" i="28"/>
  <c r="L16" i="28" s="1"/>
  <c r="M16" i="28" s="1"/>
  <c r="N16" i="28" s="1"/>
  <c r="K19" i="28"/>
  <c r="L19" i="28" s="1"/>
  <c r="M19" i="28" s="1"/>
  <c r="N19" i="28" s="1"/>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D122" i="2"/>
  <c r="F184" i="28"/>
  <c r="F183" i="28"/>
  <c r="A3" i="13"/>
  <c r="D60" i="19"/>
  <c r="D62" i="19" s="1"/>
  <c r="E60" i="19"/>
  <c r="E62" i="19" s="1"/>
  <c r="F60" i="19"/>
  <c r="F62" i="19" s="1"/>
  <c r="G60" i="19"/>
  <c r="G62" i="19" s="1"/>
  <c r="H60" i="19"/>
  <c r="H62" i="19" s="1"/>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17" i="2"/>
  <c r="E117" i="2"/>
  <c r="F117" i="2"/>
  <c r="G117" i="2"/>
  <c r="H117" i="2"/>
  <c r="H73" i="2"/>
  <c r="G73" i="2"/>
  <c r="F73" i="2"/>
  <c r="E73" i="2"/>
  <c r="D73" i="2"/>
  <c r="J72" i="2"/>
  <c r="J71" i="2"/>
  <c r="B47" i="1"/>
  <c r="D13" i="28"/>
  <c r="E13" i="28"/>
  <c r="F13" i="28"/>
  <c r="G13" i="28"/>
  <c r="H13" i="28"/>
  <c r="I13" i="28"/>
  <c r="J13" i="28"/>
  <c r="K13" i="28"/>
  <c r="L13" i="28"/>
  <c r="M13" i="28"/>
  <c r="N13" i="28"/>
  <c r="C13" i="28"/>
  <c r="C7" i="28"/>
  <c r="D52" i="19"/>
  <c r="D51" i="19"/>
  <c r="E52" i="19"/>
  <c r="F52" i="19" s="1"/>
  <c r="F51" i="19" s="1"/>
  <c r="D104" i="2"/>
  <c r="D103" i="2" s="1"/>
  <c r="F189" i="28"/>
  <c r="F188" i="28"/>
  <c r="F187" i="28"/>
  <c r="E216" i="28"/>
  <c r="F186" i="28" s="1"/>
  <c r="B216" i="28"/>
  <c r="F185" i="28" s="1"/>
  <c r="G128" i="28"/>
  <c r="D15" i="2"/>
  <c r="B30" i="1"/>
  <c r="J48" i="17"/>
  <c r="D40" i="19"/>
  <c r="D39" i="19"/>
  <c r="H23" i="19"/>
  <c r="G23" i="19"/>
  <c r="F23" i="19"/>
  <c r="E23" i="19"/>
  <c r="D23" i="19"/>
  <c r="H16" i="11"/>
  <c r="G16" i="11"/>
  <c r="F16" i="11"/>
  <c r="E16" i="11"/>
  <c r="I18" i="29"/>
  <c r="H18" i="29"/>
  <c r="G18" i="29"/>
  <c r="F18" i="29"/>
  <c r="E18" i="29"/>
  <c r="E17" i="10"/>
  <c r="H53" i="27"/>
  <c r="G53" i="27"/>
  <c r="F53" i="27"/>
  <c r="E53" i="27"/>
  <c r="D53" i="27"/>
  <c r="I6" i="17"/>
  <c r="I5" i="17" s="1"/>
  <c r="I6" i="5"/>
  <c r="I5" i="5" s="1"/>
  <c r="H44" i="2"/>
  <c r="H54" i="2" s="1"/>
  <c r="G44" i="2"/>
  <c r="G54" i="2" s="1"/>
  <c r="F44" i="2"/>
  <c r="F54" i="2" s="1"/>
  <c r="E44" i="2"/>
  <c r="E54" i="2" s="1"/>
  <c r="D44" i="2"/>
  <c r="J43" i="2"/>
  <c r="J42" i="2"/>
  <c r="H15" i="2"/>
  <c r="H25" i="2" s="1"/>
  <c r="G15" i="2"/>
  <c r="G25" i="2" s="1"/>
  <c r="F15" i="2"/>
  <c r="F25" i="2" s="1"/>
  <c r="E15" i="2"/>
  <c r="E25" i="2" s="1"/>
  <c r="E32" i="2" s="1"/>
  <c r="J14" i="2"/>
  <c r="J13"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D6" i="17"/>
  <c r="D5" i="17" s="1"/>
  <c r="D6" i="19"/>
  <c r="D6" i="2"/>
  <c r="D5" i="2" s="1"/>
  <c r="D6" i="11"/>
  <c r="D5" i="11" s="1"/>
  <c r="D6" i="27"/>
  <c r="D5" i="27" s="1"/>
  <c r="E6" i="10"/>
  <c r="D5" i="19"/>
  <c r="E6" i="19"/>
  <c r="E5" i="19" s="1"/>
  <c r="E6" i="27"/>
  <c r="F6" i="27" s="1"/>
  <c r="B21" i="1"/>
  <c r="F6" i="19"/>
  <c r="F5" i="19" s="1"/>
  <c r="F20" i="4"/>
  <c r="G20" i="4"/>
  <c r="H20" i="4"/>
  <c r="I20" i="4"/>
  <c r="H62" i="2" l="1"/>
  <c r="H33" i="2"/>
  <c r="G62" i="2"/>
  <c r="E62" i="2"/>
  <c r="G33" i="2"/>
  <c r="E33" i="2"/>
  <c r="D25" i="2"/>
  <c r="J25" i="2" s="1"/>
  <c r="J23" i="2"/>
  <c r="J52" i="2"/>
  <c r="D54" i="2"/>
  <c r="J54" i="2" s="1"/>
  <c r="F62" i="2"/>
  <c r="F33" i="2"/>
  <c r="E24" i="10"/>
  <c r="G56" i="17"/>
  <c r="F24" i="27"/>
  <c r="F43" i="27" s="1"/>
  <c r="G9" i="27"/>
  <c r="H9" i="27"/>
  <c r="G24" i="27"/>
  <c r="G43" i="27" s="1"/>
  <c r="H24" i="27"/>
  <c r="H43" i="27" s="1"/>
  <c r="E9" i="27"/>
  <c r="J50" i="17"/>
  <c r="J51" i="17"/>
  <c r="J52" i="17"/>
  <c r="J54" i="17"/>
  <c r="F56" i="17"/>
  <c r="J49" i="17"/>
  <c r="J53" i="17"/>
  <c r="E191" i="28"/>
  <c r="J54" i="28"/>
  <c r="J73" i="28" s="1"/>
  <c r="I79" i="28"/>
  <c r="Q54" i="28"/>
  <c r="P79" i="28"/>
  <c r="E19" i="2"/>
  <c r="E36" i="2" s="1"/>
  <c r="C9" i="28"/>
  <c r="C30" i="2" s="1"/>
  <c r="I57" i="2"/>
  <c r="I59" i="2"/>
  <c r="I58" i="2"/>
  <c r="I28" i="2"/>
  <c r="I29" i="2"/>
  <c r="I30" i="2"/>
  <c r="E71" i="4"/>
  <c r="E80" i="4" s="1"/>
  <c r="E92" i="4" s="1"/>
  <c r="E77" i="4"/>
  <c r="E81" i="4" s="1"/>
  <c r="E93" i="4" s="1"/>
  <c r="H71" i="4"/>
  <c r="H77" i="4"/>
  <c r="H81" i="4" s="1"/>
  <c r="I71" i="4"/>
  <c r="I80" i="4" s="1"/>
  <c r="I92" i="4" s="1"/>
  <c r="I77" i="4"/>
  <c r="I81" i="4" s="1"/>
  <c r="G71" i="4"/>
  <c r="G80" i="4" s="1"/>
  <c r="G92" i="4" s="1"/>
  <c r="G77" i="4"/>
  <c r="G81" i="4" s="1"/>
  <c r="F71" i="4"/>
  <c r="F77" i="4"/>
  <c r="F81" i="4" s="1"/>
  <c r="E5" i="27"/>
  <c r="E30" i="10"/>
  <c r="D26" i="28"/>
  <c r="D28" i="28"/>
  <c r="E21" i="29"/>
  <c r="F21" i="29"/>
  <c r="G21" i="29"/>
  <c r="H21" i="29"/>
  <c r="I21" i="29"/>
  <c r="E6" i="5"/>
  <c r="D5" i="5"/>
  <c r="D85" i="2"/>
  <c r="I85" i="2" s="1"/>
  <c r="D86" i="2"/>
  <c r="G85" i="2"/>
  <c r="G86" i="2"/>
  <c r="E86" i="2"/>
  <c r="E85" i="2"/>
  <c r="H86" i="2"/>
  <c r="H85" i="2"/>
  <c r="F85" i="2"/>
  <c r="F86" i="2"/>
  <c r="G61" i="2"/>
  <c r="E61" i="2"/>
  <c r="H61" i="2"/>
  <c r="F61" i="2"/>
  <c r="F32" i="2"/>
  <c r="H32" i="2"/>
  <c r="D32" i="2"/>
  <c r="I32" i="2" s="1"/>
  <c r="G32" i="2"/>
  <c r="E28" i="28"/>
  <c r="E32" i="10" s="1"/>
  <c r="F6" i="4"/>
  <c r="H123" i="2"/>
  <c r="H146" i="2" s="1"/>
  <c r="H180" i="2" s="1"/>
  <c r="F77" i="2"/>
  <c r="F123" i="2"/>
  <c r="E123" i="2"/>
  <c r="D56" i="17"/>
  <c r="E56" i="17"/>
  <c r="E4" i="29"/>
  <c r="G45" i="11"/>
  <c r="G64" i="11" s="1"/>
  <c r="D45" i="11"/>
  <c r="D64" i="11" s="1"/>
  <c r="F45" i="11"/>
  <c r="F64" i="11" s="1"/>
  <c r="E45" i="11"/>
  <c r="E64" i="11" s="1"/>
  <c r="H45" i="11"/>
  <c r="H64" i="11" s="1"/>
  <c r="B20" i="1"/>
  <c r="I81" i="2"/>
  <c r="I82" i="2"/>
  <c r="I83" i="2"/>
  <c r="I25" i="2"/>
  <c r="I53" i="2"/>
  <c r="I52" i="2"/>
  <c r="H20" i="2"/>
  <c r="I24" i="2"/>
  <c r="I23" i="2"/>
  <c r="J44" i="2"/>
  <c r="F19" i="2"/>
  <c r="H78" i="2"/>
  <c r="G78" i="2"/>
  <c r="E78" i="2"/>
  <c r="J15" i="2"/>
  <c r="J73" i="2"/>
  <c r="D123" i="2"/>
  <c r="D146" i="2" s="1"/>
  <c r="D180" i="2" s="1"/>
  <c r="G20" i="2"/>
  <c r="G37" i="2" s="1"/>
  <c r="E20" i="2"/>
  <c r="E37" i="2" s="1"/>
  <c r="G123" i="2"/>
  <c r="F78" i="2"/>
  <c r="H49" i="2"/>
  <c r="F49" i="2"/>
  <c r="F6" i="29"/>
  <c r="F5" i="29" s="1"/>
  <c r="D49" i="2"/>
  <c r="D48" i="2"/>
  <c r="D77" i="2"/>
  <c r="F6" i="10"/>
  <c r="G6" i="10" s="1"/>
  <c r="H6" i="10" s="1"/>
  <c r="F5" i="27"/>
  <c r="G6" i="27"/>
  <c r="E6" i="17"/>
  <c r="E6" i="2"/>
  <c r="E6" i="11"/>
  <c r="E51" i="19"/>
  <c r="G6" i="19"/>
  <c r="E24" i="28"/>
  <c r="E65" i="4"/>
  <c r="E5" i="4"/>
  <c r="G52" i="19"/>
  <c r="F25" i="28"/>
  <c r="F6" i="5"/>
  <c r="E104" i="2"/>
  <c r="E103" i="2" s="1"/>
  <c r="E150" i="2" s="1"/>
  <c r="H43" i="29"/>
  <c r="G77" i="2"/>
  <c r="D59" i="27"/>
  <c r="F59" i="27"/>
  <c r="F43" i="29"/>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G19" i="2"/>
  <c r="H77" i="2"/>
  <c r="E123" i="28"/>
  <c r="F123" i="28" s="1"/>
  <c r="E127" i="28"/>
  <c r="F127" i="28" s="1"/>
  <c r="D20" i="2"/>
  <c r="H19" i="2"/>
  <c r="H36" i="2" s="1"/>
  <c r="E77" i="2"/>
  <c r="D78" i="2"/>
  <c r="H48" i="2"/>
  <c r="D63" i="17"/>
  <c r="D19" i="2"/>
  <c r="D36" i="2" s="1"/>
  <c r="G63" i="17"/>
  <c r="I36" i="10"/>
  <c r="H36" i="10"/>
  <c r="F48" i="2"/>
  <c r="E126" i="28"/>
  <c r="F126" i="28" s="1"/>
  <c r="E190" i="28"/>
  <c r="E187" i="28"/>
  <c r="E63" i="17"/>
  <c r="F36" i="10"/>
  <c r="F20" i="2"/>
  <c r="G49" i="2"/>
  <c r="G48" i="2"/>
  <c r="I26" i="28"/>
  <c r="E184" i="28"/>
  <c r="B120" i="28"/>
  <c r="E26" i="28"/>
  <c r="D149" i="2" s="1"/>
  <c r="D150" i="2" s="1"/>
  <c r="H26" i="28"/>
  <c r="E183" i="28"/>
  <c r="K26" i="28"/>
  <c r="G26" i="28"/>
  <c r="E189" i="28"/>
  <c r="E129" i="28"/>
  <c r="F129" i="28" s="1"/>
  <c r="J26" i="28"/>
  <c r="E128" i="28"/>
  <c r="F128" i="28" s="1"/>
  <c r="E186" i="28"/>
  <c r="E188" i="28"/>
  <c r="E124" i="28"/>
  <c r="F124" i="28" s="1"/>
  <c r="E125" i="28"/>
  <c r="F125" i="28" s="1"/>
  <c r="E185" i="28"/>
  <c r="E49" i="2"/>
  <c r="E48" i="2"/>
  <c r="G43" i="29"/>
  <c r="D66" i="27"/>
  <c r="E36" i="10"/>
  <c r="G59" i="27"/>
  <c r="E59" i="27"/>
  <c r="G66" i="27"/>
  <c r="E66" i="27"/>
  <c r="F66" i="27"/>
  <c r="H59" i="27"/>
  <c r="I43" i="29"/>
  <c r="H66" i="27"/>
  <c r="E43" i="29"/>
  <c r="F63" i="17"/>
  <c r="D182" i="2" l="1"/>
  <c r="I54" i="2"/>
  <c r="F36" i="2"/>
  <c r="G36" i="2"/>
  <c r="J36" i="2" s="1"/>
  <c r="G66" i="2"/>
  <c r="H66" i="2"/>
  <c r="D61" i="2"/>
  <c r="I61" i="2" s="1"/>
  <c r="F37" i="2"/>
  <c r="H37" i="2"/>
  <c r="J47" i="17"/>
  <c r="D33" i="2"/>
  <c r="I33" i="2" s="1"/>
  <c r="D62" i="2"/>
  <c r="I62" i="2" s="1"/>
  <c r="F15" i="10"/>
  <c r="F17" i="10" s="1"/>
  <c r="F24" i="10" s="1"/>
  <c r="H56" i="17"/>
  <c r="J56" i="17" s="1"/>
  <c r="F9" i="27"/>
  <c r="E24" i="27"/>
  <c r="E43" i="27" s="1"/>
  <c r="F45" i="27"/>
  <c r="F49" i="27" s="1"/>
  <c r="G48" i="27" s="1"/>
  <c r="B186" i="28"/>
  <c r="B187" i="28"/>
  <c r="B188" i="28"/>
  <c r="B189" i="28"/>
  <c r="B190" i="28"/>
  <c r="B184" i="28"/>
  <c r="B185" i="28"/>
  <c r="B191" i="28"/>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E149" i="2"/>
  <c r="H78" i="4"/>
  <c r="E78" i="4"/>
  <c r="F78" i="4"/>
  <c r="I78" i="4"/>
  <c r="H90" i="2"/>
  <c r="H80" i="4"/>
  <c r="H92" i="4" s="1"/>
  <c r="G78" i="4"/>
  <c r="F80" i="4"/>
  <c r="F92" i="4" s="1"/>
  <c r="C6" i="28"/>
  <c r="E90" i="2"/>
  <c r="F5" i="4"/>
  <c r="G6" i="4"/>
  <c r="G5" i="4" s="1"/>
  <c r="E66" i="2"/>
  <c r="F90" i="2"/>
  <c r="G90" i="2"/>
  <c r="E76" i="1"/>
  <c r="D76" i="1"/>
  <c r="G6" i="1"/>
  <c r="E5" i="1"/>
  <c r="E5" i="5"/>
  <c r="E74" i="1"/>
  <c r="D90" i="2"/>
  <c r="I90" i="2" s="1"/>
  <c r="D89" i="2"/>
  <c r="I89" i="2" s="1"/>
  <c r="E89" i="2"/>
  <c r="F89" i="2"/>
  <c r="G89" i="2"/>
  <c r="H89" i="2"/>
  <c r="J86" i="2"/>
  <c r="F66" i="2"/>
  <c r="J85" i="2"/>
  <c r="F65" i="2"/>
  <c r="E65" i="2"/>
  <c r="H65" i="2"/>
  <c r="G65" i="2"/>
  <c r="G67" i="2" s="1"/>
  <c r="D66" i="2"/>
  <c r="J62" i="2"/>
  <c r="D65" i="2"/>
  <c r="J61" i="2"/>
  <c r="J32" i="2"/>
  <c r="F28" i="28"/>
  <c r="F27" i="28"/>
  <c r="G146" i="2"/>
  <c r="G180" i="2" s="1"/>
  <c r="F146" i="2"/>
  <c r="F180" i="2" s="1"/>
  <c r="E146" i="2"/>
  <c r="E180" i="2" s="1"/>
  <c r="E38" i="2"/>
  <c r="G6" i="29"/>
  <c r="G5" i="29" s="1"/>
  <c r="F4" i="29"/>
  <c r="F27" i="10"/>
  <c r="G27" i="10"/>
  <c r="E5" i="2"/>
  <c r="F6" i="2"/>
  <c r="E5" i="17"/>
  <c r="F6" i="17"/>
  <c r="G5" i="27"/>
  <c r="H6" i="27"/>
  <c r="H5" i="27" s="1"/>
  <c r="E5" i="11"/>
  <c r="F6" i="11"/>
  <c r="G6" i="5"/>
  <c r="G5" i="19"/>
  <c r="H6" i="19"/>
  <c r="H5" i="19" s="1"/>
  <c r="F104" i="2"/>
  <c r="F24" i="28"/>
  <c r="G25" i="28"/>
  <c r="F5" i="5"/>
  <c r="H52" i="19"/>
  <c r="H51" i="19" s="1"/>
  <c r="G51" i="19"/>
  <c r="H27" i="10"/>
  <c r="I6" i="10"/>
  <c r="E34" i="10"/>
  <c r="E35" i="10"/>
  <c r="J77" i="2"/>
  <c r="J19" i="2"/>
  <c r="G34" i="10"/>
  <c r="F35" i="10"/>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J78" i="2"/>
  <c r="J20" i="2"/>
  <c r="H15" i="4"/>
  <c r="H18" i="4" s="1"/>
  <c r="D75" i="1"/>
  <c r="D74" i="1"/>
  <c r="E15" i="4"/>
  <c r="E18" i="4" s="1"/>
  <c r="E20" i="4" s="1"/>
  <c r="B130" i="28"/>
  <c r="J49" i="2"/>
  <c r="G15" i="4"/>
  <c r="G18" i="4" s="1"/>
  <c r="F36" i="29"/>
  <c r="F15" i="4"/>
  <c r="F18" i="4" s="1"/>
  <c r="E18" i="19"/>
  <c r="E181" i="2"/>
  <c r="E42" i="17"/>
  <c r="E54" i="19"/>
  <c r="E82" i="1" s="1"/>
  <c r="J48" i="2"/>
  <c r="I15" i="4"/>
  <c r="I18" i="4" s="1"/>
  <c r="H97" i="2" l="1"/>
  <c r="H66" i="1" s="1"/>
  <c r="G97" i="2"/>
  <c r="G66" i="1" s="1"/>
  <c r="J33" i="2"/>
  <c r="D37" i="2"/>
  <c r="I37" i="2" s="1"/>
  <c r="F32" i="10"/>
  <c r="G15" i="10"/>
  <c r="G17" i="10" s="1"/>
  <c r="G24" i="10" s="1"/>
  <c r="H15" i="10" s="1"/>
  <c r="H17" i="10" s="1"/>
  <c r="H24" i="10" s="1"/>
  <c r="I15" i="10" s="1"/>
  <c r="I17" i="10" s="1"/>
  <c r="I24" i="10" s="1"/>
  <c r="E45" i="27"/>
  <c r="E49" i="27" s="1"/>
  <c r="F48" i="27" s="1"/>
  <c r="F55" i="27" s="1"/>
  <c r="H6" i="4"/>
  <c r="H5" i="4" s="1"/>
  <c r="G65" i="4"/>
  <c r="K65" i="28"/>
  <c r="F34" i="10" s="1"/>
  <c r="F37" i="10" s="1"/>
  <c r="F41"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F149" i="2"/>
  <c r="H91" i="2"/>
  <c r="E97" i="2"/>
  <c r="E66" i="1" s="1"/>
  <c r="I36" i="2"/>
  <c r="E91" i="2"/>
  <c r="F96" i="2"/>
  <c r="F97" i="2"/>
  <c r="F66" i="1" s="1"/>
  <c r="H96" i="2"/>
  <c r="H98" i="2" s="1"/>
  <c r="F91" i="2"/>
  <c r="G91" i="2"/>
  <c r="B78" i="1"/>
  <c r="B77" i="1"/>
  <c r="B81" i="1"/>
  <c r="B80" i="1"/>
  <c r="B79" i="1"/>
  <c r="J90" i="2"/>
  <c r="D91" i="2"/>
  <c r="I91" i="2" s="1"/>
  <c r="D96" i="2"/>
  <c r="I96" i="2" s="1"/>
  <c r="F76" i="1"/>
  <c r="I65" i="2"/>
  <c r="I6" i="4"/>
  <c r="I5" i="4" s="1"/>
  <c r="H65" i="4"/>
  <c r="B19" i="1"/>
  <c r="B46" i="1"/>
  <c r="J66" i="2"/>
  <c r="I66" i="2"/>
  <c r="D67" i="2"/>
  <c r="G28" i="28"/>
  <c r="G27" i="28"/>
  <c r="F93" i="4"/>
  <c r="I27" i="10"/>
  <c r="J65" i="2"/>
  <c r="F67" i="2"/>
  <c r="E96" i="2"/>
  <c r="G96" i="2"/>
  <c r="E67" i="2"/>
  <c r="H67" i="2"/>
  <c r="G5" i="5"/>
  <c r="H38" i="2"/>
  <c r="E37" i="10"/>
  <c r="J89" i="2"/>
  <c r="G38" i="2"/>
  <c r="F38" i="2"/>
  <c r="G4" i="29"/>
  <c r="H6" i="29"/>
  <c r="H5" i="29" s="1"/>
  <c r="G36" i="29"/>
  <c r="F5" i="2"/>
  <c r="G6" i="2"/>
  <c r="F5" i="17"/>
  <c r="G6" i="17"/>
  <c r="J71" i="1"/>
  <c r="F5" i="11"/>
  <c r="G6" i="11"/>
  <c r="J72" i="1"/>
  <c r="H6" i="5"/>
  <c r="F181" i="2"/>
  <c r="G104" i="2"/>
  <c r="F103" i="2"/>
  <c r="F150" i="2" s="1"/>
  <c r="F74" i="1"/>
  <c r="G24" i="28"/>
  <c r="H25" i="28"/>
  <c r="F18" i="19"/>
  <c r="F42" i="17"/>
  <c r="F54" i="19"/>
  <c r="F82" i="1" s="1"/>
  <c r="B42" i="1"/>
  <c r="B16" i="1"/>
  <c r="E57" i="17"/>
  <c r="E41" i="10" l="1"/>
  <c r="D64" i="27" s="1"/>
  <c r="F57" i="17"/>
  <c r="D97" i="2"/>
  <c r="F40" i="10"/>
  <c r="E90" i="1" s="1"/>
  <c r="J37" i="2"/>
  <c r="D38" i="2"/>
  <c r="I38" i="2" s="1"/>
  <c r="G32" i="10"/>
  <c r="H34" i="10"/>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5" i="10" s="1"/>
  <c r="G37" i="10" s="1"/>
  <c r="G41"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E98" i="2"/>
  <c r="G149" i="2"/>
  <c r="B26" i="1"/>
  <c r="B53" i="1"/>
  <c r="B23" i="1"/>
  <c r="B50" i="1"/>
  <c r="B24" i="1"/>
  <c r="B51" i="1"/>
  <c r="B27" i="1"/>
  <c r="B54" i="1"/>
  <c r="B52" i="1"/>
  <c r="B25" i="1"/>
  <c r="F98" i="2"/>
  <c r="J97" i="2"/>
  <c r="I65" i="4"/>
  <c r="D66" i="1"/>
  <c r="J66" i="1" s="1"/>
  <c r="I97" i="2"/>
  <c r="J91" i="2"/>
  <c r="D98" i="2"/>
  <c r="I98" i="2" s="1"/>
  <c r="G76" i="1"/>
  <c r="J67" i="2"/>
  <c r="I67" i="2"/>
  <c r="H28" i="28"/>
  <c r="H32" i="10" s="1"/>
  <c r="H27" i="28"/>
  <c r="G93" i="4"/>
  <c r="J96" i="2"/>
  <c r="G98" i="2"/>
  <c r="I6" i="29"/>
  <c r="I5" i="29" s="1"/>
  <c r="H4" i="29"/>
  <c r="H5" i="5"/>
  <c r="E40" i="10"/>
  <c r="D90" i="1" s="1"/>
  <c r="E39" i="10"/>
  <c r="E43" i="10" s="1"/>
  <c r="F39" i="10"/>
  <c r="F43" i="10" s="1"/>
  <c r="E64" i="27"/>
  <c r="G18" i="19"/>
  <c r="H6" i="17"/>
  <c r="G5" i="17"/>
  <c r="I54" i="17"/>
  <c r="G74" i="1"/>
  <c r="G5" i="2"/>
  <c r="H6" i="2"/>
  <c r="I72" i="2" s="1"/>
  <c r="H6" i="11"/>
  <c r="H5" i="11" s="1"/>
  <c r="G5" i="11"/>
  <c r="I56" i="17"/>
  <c r="G103" i="2"/>
  <c r="G150" i="2" s="1"/>
  <c r="H104" i="2"/>
  <c r="G181" i="2"/>
  <c r="H36" i="29"/>
  <c r="F182" i="2"/>
  <c r="I25" i="28"/>
  <c r="G42" i="17"/>
  <c r="H24" i="28"/>
  <c r="G54" i="19"/>
  <c r="G82" i="1" s="1"/>
  <c r="B43" i="1"/>
  <c r="B15" i="1"/>
  <c r="J69" i="1"/>
  <c r="J81" i="1"/>
  <c r="J78" i="1"/>
  <c r="F31" i="29"/>
  <c r="B44" i="1"/>
  <c r="B17" i="1"/>
  <c r="B45" i="1"/>
  <c r="B18" i="1"/>
  <c r="J74" i="1"/>
  <c r="K75" i="1"/>
  <c r="J75" i="1"/>
  <c r="B41" i="1"/>
  <c r="B14" i="1"/>
  <c r="J70" i="1"/>
  <c r="J73" i="1"/>
  <c r="J38" i="2" l="1"/>
  <c r="G57" i="17"/>
  <c r="F44" i="10"/>
  <c r="G39" i="10"/>
  <c r="G43" i="10" s="1"/>
  <c r="F56" i="27"/>
  <c r="E77" i="17"/>
  <c r="D77" i="17"/>
  <c r="G40" i="10"/>
  <c r="G44" i="10" s="1"/>
  <c r="F64" i="27"/>
  <c r="I34" i="10"/>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5" i="10" s="1"/>
  <c r="H37" i="10" s="1"/>
  <c r="H41" i="10" s="1"/>
  <c r="T61" i="28"/>
  <c r="T57" i="28"/>
  <c r="T64" i="28"/>
  <c r="T67" i="28"/>
  <c r="J25" i="1"/>
  <c r="D27" i="1"/>
  <c r="D22" i="1"/>
  <c r="E14" i="1"/>
  <c r="E27" i="1"/>
  <c r="J17" i="1"/>
  <c r="J20" i="1"/>
  <c r="K66" i="1"/>
  <c r="J98" i="2"/>
  <c r="H76" i="1"/>
  <c r="I28" i="28"/>
  <c r="I32" i="10" s="1"/>
  <c r="I27" i="28"/>
  <c r="H93" i="4"/>
  <c r="D26" i="1"/>
  <c r="D16" i="1"/>
  <c r="D17" i="1"/>
  <c r="J21" i="1"/>
  <c r="J18" i="1"/>
  <c r="D21" i="1"/>
  <c r="D12" i="1"/>
  <c r="D23" i="1"/>
  <c r="J19" i="1"/>
  <c r="J12" i="1"/>
  <c r="J26" i="1"/>
  <c r="D15" i="1"/>
  <c r="J23" i="1"/>
  <c r="D19" i="1"/>
  <c r="J15" i="1"/>
  <c r="D18" i="1"/>
  <c r="D20" i="1"/>
  <c r="H42" i="17"/>
  <c r="I4" i="29"/>
  <c r="J16" i="1"/>
  <c r="K78" i="1"/>
  <c r="E44" i="10"/>
  <c r="D65" i="1" s="1"/>
  <c r="D11" i="1" s="1"/>
  <c r="I36" i="29"/>
  <c r="E20" i="1"/>
  <c r="I49" i="2"/>
  <c r="H5" i="2"/>
  <c r="I43" i="2"/>
  <c r="I77" i="2"/>
  <c r="I14" i="2"/>
  <c r="I20" i="2"/>
  <c r="I13" i="2"/>
  <c r="I42" i="2"/>
  <c r="I71" i="2"/>
  <c r="I73" i="2" s="1"/>
  <c r="I19" i="2"/>
  <c r="H5" i="17"/>
  <c r="I50" i="17"/>
  <c r="I48" i="17"/>
  <c r="I49" i="17"/>
  <c r="I47" i="17"/>
  <c r="I51" i="17"/>
  <c r="I52" i="17"/>
  <c r="I53" i="17"/>
  <c r="I48" i="2"/>
  <c r="I78" i="2"/>
  <c r="H103" i="2"/>
  <c r="H150" i="2" s="1"/>
  <c r="H181" i="2"/>
  <c r="G182" i="2"/>
  <c r="I24" i="28"/>
  <c r="J25" i="28"/>
  <c r="H18" i="19"/>
  <c r="H54" i="19"/>
  <c r="H82" i="1" s="1"/>
  <c r="H74" i="1"/>
  <c r="E22" i="1"/>
  <c r="E13" i="1"/>
  <c r="E25" i="1"/>
  <c r="E24" i="1"/>
  <c r="E21" i="1"/>
  <c r="E16" i="1"/>
  <c r="E23" i="1"/>
  <c r="E26" i="1"/>
  <c r="E12" i="1"/>
  <c r="E17" i="1"/>
  <c r="E28" i="1"/>
  <c r="E18" i="1"/>
  <c r="E19" i="1"/>
  <c r="E65" i="1"/>
  <c r="E11" i="1" s="1"/>
  <c r="F45" i="10"/>
  <c r="D25" i="1"/>
  <c r="E31" i="29"/>
  <c r="J79" i="1"/>
  <c r="D24" i="1"/>
  <c r="J24" i="1"/>
  <c r="J80" i="1"/>
  <c r="H57" i="17" l="1"/>
  <c r="F90" i="1"/>
  <c r="F27" i="1" s="1"/>
  <c r="F58" i="27"/>
  <c r="H39" i="10"/>
  <c r="H43" i="10" s="1"/>
  <c r="F77" i="17"/>
  <c r="G45" i="27"/>
  <c r="G49" i="27" s="1"/>
  <c r="F62" i="27"/>
  <c r="F65" i="27" s="1"/>
  <c r="F67" i="27" s="1"/>
  <c r="H40" i="10"/>
  <c r="G90" i="1" s="1"/>
  <c r="G27" i="1" s="1"/>
  <c r="G64" i="27"/>
  <c r="U63" i="28"/>
  <c r="U57" i="28"/>
  <c r="U66" i="28"/>
  <c r="U67" i="28"/>
  <c r="U68" i="28"/>
  <c r="U64" i="28"/>
  <c r="U61" i="28"/>
  <c r="U59" i="28"/>
  <c r="U55" i="28"/>
  <c r="U62" i="28"/>
  <c r="U56" i="28"/>
  <c r="U65" i="28"/>
  <c r="I35" i="10" s="1"/>
  <c r="U60" i="28"/>
  <c r="U58" i="28"/>
  <c r="N56" i="28"/>
  <c r="N65" i="28"/>
  <c r="N66" i="28"/>
  <c r="N67" i="28"/>
  <c r="N68" i="28"/>
  <c r="N57" i="28"/>
  <c r="N64" i="28"/>
  <c r="N55" i="28"/>
  <c r="N60" i="28"/>
  <c r="N62" i="28"/>
  <c r="N63" i="28"/>
  <c r="N59" i="28"/>
  <c r="N61" i="28"/>
  <c r="N58" i="28"/>
  <c r="D54" i="19"/>
  <c r="D82" i="1" s="1"/>
  <c r="J28" i="28"/>
  <c r="J27" i="28"/>
  <c r="I93" i="4"/>
  <c r="J11" i="1"/>
  <c r="J65" i="1"/>
  <c r="E45" i="10"/>
  <c r="H31" i="29"/>
  <c r="I15" i="2"/>
  <c r="I44" i="2"/>
  <c r="G22" i="1"/>
  <c r="J24" i="28"/>
  <c r="K25" i="28"/>
  <c r="H182" i="2"/>
  <c r="F25" i="1"/>
  <c r="F24" i="1"/>
  <c r="G31" i="29"/>
  <c r="F26" i="1"/>
  <c r="F65" i="1"/>
  <c r="G45" i="10"/>
  <c r="F16" i="1"/>
  <c r="F28" i="1"/>
  <c r="F15" i="1"/>
  <c r="F13" i="1"/>
  <c r="F17" i="1"/>
  <c r="F23" i="1"/>
  <c r="F21" i="1"/>
  <c r="F19" i="1"/>
  <c r="F12" i="1"/>
  <c r="F14" i="1"/>
  <c r="F18" i="1"/>
  <c r="F20" i="1"/>
  <c r="J77" i="1"/>
  <c r="J22" i="1"/>
  <c r="D13" i="1"/>
  <c r="J13" i="1"/>
  <c r="J67" i="1"/>
  <c r="J68" i="1"/>
  <c r="D14" i="1"/>
  <c r="J14" i="1"/>
  <c r="E15" i="1"/>
  <c r="E29" i="1" s="1"/>
  <c r="E83" i="1"/>
  <c r="K69" i="1"/>
  <c r="G15" i="1" l="1"/>
  <c r="G28" i="1"/>
  <c r="G21" i="1"/>
  <c r="G12" i="1"/>
  <c r="F63" i="27"/>
  <c r="F91" i="1" s="1"/>
  <c r="F42" i="1" s="1"/>
  <c r="F60" i="27"/>
  <c r="G26" i="1"/>
  <c r="G44" i="29"/>
  <c r="F71" i="17"/>
  <c r="H48" i="27"/>
  <c r="G55" i="27"/>
  <c r="G77" i="17"/>
  <c r="H45" i="27"/>
  <c r="H49" i="27" s="1"/>
  <c r="G20" i="1"/>
  <c r="F55" i="1"/>
  <c r="G25" i="1"/>
  <c r="G24" i="1"/>
  <c r="G23" i="1"/>
  <c r="H44" i="10"/>
  <c r="G65" i="1" s="1"/>
  <c r="G11" i="1" s="1"/>
  <c r="I37" i="10"/>
  <c r="I41" i="10" s="1"/>
  <c r="D42" i="17"/>
  <c r="H149" i="2"/>
  <c r="D83" i="1"/>
  <c r="J27" i="1"/>
  <c r="K82" i="1"/>
  <c r="D181" i="2"/>
  <c r="D18" i="19"/>
  <c r="J82" i="1"/>
  <c r="J83" i="1" s="1"/>
  <c r="D28" i="1"/>
  <c r="D29" i="1" s="1"/>
  <c r="J28" i="1"/>
  <c r="E36" i="29"/>
  <c r="I31" i="29"/>
  <c r="K28" i="28"/>
  <c r="K27" i="28"/>
  <c r="K81" i="1"/>
  <c r="F83" i="1"/>
  <c r="K24" i="28"/>
  <c r="K80" i="1"/>
  <c r="K79" i="1"/>
  <c r="F11" i="1"/>
  <c r="K73" i="1"/>
  <c r="G19" i="1"/>
  <c r="G18" i="1"/>
  <c r="K72" i="1"/>
  <c r="G16" i="1"/>
  <c r="K70" i="1"/>
  <c r="G17" i="1"/>
  <c r="K71" i="1"/>
  <c r="F52" i="1" l="1"/>
  <c r="F47" i="1"/>
  <c r="F50" i="1"/>
  <c r="F44" i="1"/>
  <c r="F54" i="1"/>
  <c r="F45" i="1"/>
  <c r="F43" i="1"/>
  <c r="F40" i="1"/>
  <c r="F46" i="1"/>
  <c r="F51" i="1"/>
  <c r="F38" i="1"/>
  <c r="F48" i="1"/>
  <c r="F53" i="1"/>
  <c r="F41" i="1"/>
  <c r="J29" i="1"/>
  <c r="D57" i="17"/>
  <c r="J57" i="17" s="1"/>
  <c r="F39" i="1"/>
  <c r="G58" i="27"/>
  <c r="G56" i="27"/>
  <c r="H55" i="27"/>
  <c r="H45" i="10"/>
  <c r="I57" i="17"/>
  <c r="I40" i="10"/>
  <c r="H64" i="27"/>
  <c r="I39" i="10"/>
  <c r="I43" i="10" s="1"/>
  <c r="K67" i="1"/>
  <c r="G13" i="1"/>
  <c r="K74" i="1"/>
  <c r="F49" i="1"/>
  <c r="F22" i="1"/>
  <c r="F29" i="1" s="1"/>
  <c r="K77" i="1"/>
  <c r="G14" i="1"/>
  <c r="G83" i="1"/>
  <c r="K68" i="1"/>
  <c r="F56" i="1" l="1"/>
  <c r="H58" i="27"/>
  <c r="H56" i="27"/>
  <c r="H44" i="29"/>
  <c r="G60" i="27"/>
  <c r="G62" i="27"/>
  <c r="G65" i="27" s="1"/>
  <c r="G63" i="27"/>
  <c r="G91" i="1" s="1"/>
  <c r="H77" i="17"/>
  <c r="H90" i="1"/>
  <c r="I44" i="10"/>
  <c r="H65" i="1" s="1"/>
  <c r="G29" i="1"/>
  <c r="H63" i="27" l="1"/>
  <c r="H91" i="1" s="1"/>
  <c r="H62" i="27"/>
  <c r="H65" i="27" s="1"/>
  <c r="H67" i="27" s="1"/>
  <c r="G54" i="1"/>
  <c r="G55" i="1"/>
  <c r="G50" i="1"/>
  <c r="G44" i="1"/>
  <c r="G48" i="1"/>
  <c r="G43" i="1"/>
  <c r="G38" i="1"/>
  <c r="G39" i="1"/>
  <c r="G40" i="1"/>
  <c r="G46" i="1"/>
  <c r="G47" i="1"/>
  <c r="G49" i="1"/>
  <c r="G45" i="1"/>
  <c r="G51" i="1"/>
  <c r="G53" i="1"/>
  <c r="G42" i="1"/>
  <c r="G52" i="1"/>
  <c r="G41" i="1"/>
  <c r="G71" i="17"/>
  <c r="G67" i="27"/>
  <c r="I44" i="29"/>
  <c r="H60" i="27"/>
  <c r="H11" i="1"/>
  <c r="K11" i="1"/>
  <c r="H83" i="1"/>
  <c r="K65" i="1"/>
  <c r="K83" i="1" s="1"/>
  <c r="H38" i="1"/>
  <c r="H44" i="1"/>
  <c r="H41" i="1"/>
  <c r="H45" i="1"/>
  <c r="H55" i="1"/>
  <c r="H42" i="1"/>
  <c r="H46" i="1"/>
  <c r="H47" i="1"/>
  <c r="H49" i="1"/>
  <c r="H48" i="1"/>
  <c r="H53" i="1"/>
  <c r="H40" i="1"/>
  <c r="H54" i="1"/>
  <c r="H52" i="1"/>
  <c r="H51" i="1"/>
  <c r="H43" i="1"/>
  <c r="H39" i="1"/>
  <c r="H50" i="1"/>
  <c r="H27" i="1"/>
  <c r="H16" i="1"/>
  <c r="H15" i="1"/>
  <c r="H26" i="1"/>
  <c r="H24" i="1"/>
  <c r="H18" i="1"/>
  <c r="H21" i="1"/>
  <c r="H25" i="1"/>
  <c r="H17" i="1"/>
  <c r="H12" i="1"/>
  <c r="K12" i="1"/>
  <c r="H13" i="1"/>
  <c r="K15" i="1"/>
  <c r="H19" i="1"/>
  <c r="H22" i="1"/>
  <c r="H28" i="1"/>
  <c r="K21" i="1"/>
  <c r="K23" i="1"/>
  <c r="H23" i="1"/>
  <c r="K27" i="1"/>
  <c r="K26" i="1"/>
  <c r="K17" i="1"/>
  <c r="K19" i="1"/>
  <c r="K18" i="1"/>
  <c r="K25" i="1"/>
  <c r="K28" i="1"/>
  <c r="K24" i="1"/>
  <c r="K16" i="1"/>
  <c r="H14" i="1"/>
  <c r="K14" i="1"/>
  <c r="H20" i="1"/>
  <c r="K13" i="1"/>
  <c r="K22" i="1"/>
  <c r="K20" i="1"/>
  <c r="I45" i="10"/>
  <c r="H71" i="17" l="1"/>
  <c r="G56" i="1"/>
  <c r="H29" i="1"/>
  <c r="H56" i="1"/>
  <c r="K29" i="1"/>
  <c r="D24" i="27" l="1"/>
  <c r="D43" i="27" l="1"/>
  <c r="D45" i="27" l="1"/>
  <c r="D49" i="27" s="1"/>
  <c r="D55" i="27" l="1"/>
  <c r="E48" i="27"/>
  <c r="E55" i="27" s="1"/>
  <c r="I95" i="4"/>
  <c r="I105" i="4" s="1"/>
  <c r="H29" i="17"/>
  <c r="G95" i="4"/>
  <c r="G105" i="4" s="1"/>
  <c r="F29" i="17"/>
  <c r="E95" i="4"/>
  <c r="E105" i="4" s="1"/>
  <c r="D29" i="17"/>
  <c r="H95" i="4"/>
  <c r="G29" i="17"/>
  <c r="F95" i="4"/>
  <c r="F105" i="4" s="1"/>
  <c r="E29" i="17"/>
  <c r="F96" i="4" l="1"/>
  <c r="G96" i="4"/>
  <c r="H31" i="17"/>
  <c r="I96" i="4"/>
  <c r="H96" i="4"/>
  <c r="G31" i="17"/>
  <c r="H105" i="4"/>
  <c r="E58" i="27"/>
  <c r="E56" i="27"/>
  <c r="E96" i="4"/>
  <c r="D31" i="17"/>
  <c r="D58" i="27"/>
  <c r="D56" i="27"/>
  <c r="E97" i="4" l="1"/>
  <c r="D40" i="17"/>
  <c r="D44" i="17" s="1"/>
  <c r="D83" i="17" s="1"/>
  <c r="I97" i="4"/>
  <c r="E62" i="27"/>
  <c r="E65" i="27" s="1"/>
  <c r="F44" i="29"/>
  <c r="E60" i="27"/>
  <c r="E63" i="27"/>
  <c r="E91" i="1" s="1"/>
  <c r="G97" i="4"/>
  <c r="H97" i="4"/>
  <c r="F97" i="4"/>
  <c r="D104" i="17"/>
  <c r="D95" i="17"/>
  <c r="H104" i="17"/>
  <c r="H95" i="17"/>
  <c r="H40" i="17"/>
  <c r="D62" i="27"/>
  <c r="D65" i="27" s="1"/>
  <c r="D63" i="27"/>
  <c r="D91" i="1" s="1"/>
  <c r="E44" i="29"/>
  <c r="D60" i="27"/>
  <c r="G104" i="17"/>
  <c r="G105" i="17" s="1"/>
  <c r="G106" i="17" s="1"/>
  <c r="G107" i="17" s="1"/>
  <c r="G97" i="17" s="1"/>
  <c r="G95" i="17"/>
  <c r="G40" i="17"/>
  <c r="D66" i="17" l="1"/>
  <c r="G66" i="17"/>
  <c r="G44" i="17"/>
  <c r="G83" i="17" s="1"/>
  <c r="E67" i="27"/>
  <c r="I44" i="17"/>
  <c r="G99" i="17"/>
  <c r="I95" i="17"/>
  <c r="D67" i="27"/>
  <c r="H66" i="17"/>
  <c r="H44" i="17"/>
  <c r="H83" i="17" s="1"/>
  <c r="E51" i="1"/>
  <c r="E44" i="1"/>
  <c r="E49" i="1"/>
  <c r="E45" i="1"/>
  <c r="E50" i="1"/>
  <c r="E39" i="1"/>
  <c r="E42" i="1"/>
  <c r="E40" i="1"/>
  <c r="E48" i="1"/>
  <c r="E52" i="1"/>
  <c r="E38" i="1"/>
  <c r="E55" i="1"/>
  <c r="E54" i="1"/>
  <c r="E43" i="1"/>
  <c r="E41" i="1"/>
  <c r="E53" i="1"/>
  <c r="E46" i="1"/>
  <c r="E47" i="1"/>
  <c r="H105" i="17"/>
  <c r="H106" i="17" s="1"/>
  <c r="H107" i="17" s="1"/>
  <c r="H97" i="17" s="1"/>
  <c r="H99" i="17" s="1"/>
  <c r="J51" i="1"/>
  <c r="D39" i="1"/>
  <c r="D47" i="1"/>
  <c r="J40" i="1"/>
  <c r="J48" i="1"/>
  <c r="J50" i="1"/>
  <c r="J39" i="1"/>
  <c r="J38" i="1"/>
  <c r="J45" i="1"/>
  <c r="D52" i="1"/>
  <c r="D49" i="1"/>
  <c r="D41" i="1"/>
  <c r="J43" i="1"/>
  <c r="D53" i="1"/>
  <c r="D51" i="1"/>
  <c r="J53" i="1"/>
  <c r="J41" i="1"/>
  <c r="D44" i="1"/>
  <c r="J42" i="1"/>
  <c r="D50" i="1"/>
  <c r="D45" i="1"/>
  <c r="J44" i="1"/>
  <c r="D38" i="1"/>
  <c r="J47" i="1"/>
  <c r="D48" i="1"/>
  <c r="D46" i="1"/>
  <c r="D40" i="1"/>
  <c r="D54" i="1"/>
  <c r="J52" i="1"/>
  <c r="D42" i="1"/>
  <c r="D43" i="1"/>
  <c r="J46" i="1"/>
  <c r="J49" i="1"/>
  <c r="J55" i="1"/>
  <c r="D55" i="1"/>
  <c r="J54" i="1"/>
  <c r="K51" i="1"/>
  <c r="K46" i="1"/>
  <c r="K47" i="1"/>
  <c r="K55" i="1"/>
  <c r="K50" i="1"/>
  <c r="K52" i="1"/>
  <c r="K41" i="1"/>
  <c r="K45" i="1"/>
  <c r="K43" i="1"/>
  <c r="K42" i="1"/>
  <c r="K53" i="1"/>
  <c r="K54" i="1"/>
  <c r="K49" i="1"/>
  <c r="K48" i="1"/>
  <c r="K44" i="1"/>
  <c r="K38" i="1"/>
  <c r="K40" i="1"/>
  <c r="K39" i="1"/>
  <c r="H34" i="29" l="1"/>
  <c r="H67" i="17"/>
  <c r="H68" i="17" s="1"/>
  <c r="I34" i="29"/>
  <c r="G67" i="17"/>
  <c r="G68" i="17" s="1"/>
  <c r="E34" i="29"/>
  <c r="D56" i="1"/>
  <c r="E64" i="29"/>
  <c r="I83" i="17"/>
  <c r="D105" i="17"/>
  <c r="D106" i="17" s="1"/>
  <c r="D107" i="17" s="1"/>
  <c r="D97" i="17" s="1"/>
  <c r="D71" i="17"/>
  <c r="E71" i="17"/>
  <c r="E56" i="1"/>
  <c r="D67" i="17"/>
  <c r="D68" i="17" s="1"/>
  <c r="H64" i="29"/>
  <c r="K56" i="1"/>
  <c r="J56" i="1"/>
  <c r="I64" i="29"/>
  <c r="H70" i="17" l="1"/>
  <c r="H85" i="17" s="1"/>
  <c r="G70" i="17"/>
  <c r="G85" i="17" s="1"/>
  <c r="I38" i="29"/>
  <c r="I58" i="29" s="1"/>
  <c r="I102" i="4"/>
  <c r="I46" i="29"/>
  <c r="H38" i="29"/>
  <c r="H58" i="29" s="1"/>
  <c r="H102" i="4"/>
  <c r="H46" i="29"/>
  <c r="E102" i="4"/>
  <c r="E38" i="29"/>
  <c r="E58" i="29" s="1"/>
  <c r="E46" i="29"/>
  <c r="D70" i="17"/>
  <c r="D85" i="17" s="1"/>
  <c r="I71" i="17"/>
  <c r="J71" i="17"/>
  <c r="I97" i="17"/>
  <c r="D99" i="17"/>
  <c r="E65" i="29"/>
  <c r="H65" i="29"/>
  <c r="I65" i="29"/>
  <c r="I66" i="29" l="1"/>
  <c r="I67" i="29" s="1"/>
  <c r="H84" i="1" s="1"/>
  <c r="E106" i="4"/>
  <c r="E107" i="4" s="1"/>
  <c r="I103" i="4"/>
  <c r="I106" i="4"/>
  <c r="I107" i="4" s="1"/>
  <c r="G87" i="17"/>
  <c r="H66" i="29"/>
  <c r="H103" i="4"/>
  <c r="H106" i="4"/>
  <c r="H107" i="4" s="1"/>
  <c r="H87" i="17"/>
  <c r="E103" i="4"/>
  <c r="I70" i="17"/>
  <c r="E66" i="29"/>
  <c r="I85" i="17"/>
  <c r="D87" i="17"/>
  <c r="I99" i="17"/>
  <c r="I47" i="29" l="1"/>
  <c r="I48" i="29" s="1"/>
  <c r="I50" i="29" s="1"/>
  <c r="I60" i="29" s="1"/>
  <c r="H86" i="1" s="1"/>
  <c r="I68" i="29"/>
  <c r="H85" i="1" s="1"/>
  <c r="H57" i="1" s="1"/>
  <c r="H67" i="29"/>
  <c r="H47" i="29"/>
  <c r="H48" i="29" s="1"/>
  <c r="H50" i="29" s="1"/>
  <c r="H60" i="29" s="1"/>
  <c r="I87" i="17"/>
  <c r="H30" i="1"/>
  <c r="E67" i="29"/>
  <c r="E47" i="29"/>
  <c r="E48" i="29" s="1"/>
  <c r="E50" i="29" s="1"/>
  <c r="E60" i="29" s="1"/>
  <c r="I62" i="29" l="1"/>
  <c r="H87" i="1" s="1"/>
  <c r="H88" i="1" s="1"/>
  <c r="H62" i="29"/>
  <c r="G86" i="1"/>
  <c r="G31" i="1" s="1"/>
  <c r="G84" i="1"/>
  <c r="H68" i="29"/>
  <c r="G85" i="1" s="1"/>
  <c r="H31" i="1"/>
  <c r="H32" i="1" s="1"/>
  <c r="D86" i="1"/>
  <c r="E62" i="29"/>
  <c r="D84" i="1"/>
  <c r="E68" i="29"/>
  <c r="D85" i="1" s="1"/>
  <c r="H58" i="1" l="1"/>
  <c r="H59" i="1" s="1"/>
  <c r="G87" i="1"/>
  <c r="G58" i="1" s="1"/>
  <c r="G30" i="1"/>
  <c r="G32" i="1" s="1"/>
  <c r="G57" i="1"/>
  <c r="D30" i="1"/>
  <c r="J30" i="1"/>
  <c r="J84" i="1"/>
  <c r="J57" i="1"/>
  <c r="D31" i="1"/>
  <c r="J31" i="1"/>
  <c r="J86" i="1"/>
  <c r="D57" i="1"/>
  <c r="J85" i="1"/>
  <c r="D87" i="1"/>
  <c r="J58" i="1" s="1"/>
  <c r="G88" i="1" l="1"/>
  <c r="G59" i="1"/>
  <c r="J32" i="1"/>
  <c r="D88" i="1"/>
  <c r="D32" i="1"/>
  <c r="J59" i="1"/>
  <c r="D58" i="1"/>
  <c r="D59" i="1" s="1"/>
  <c r="J87" i="1"/>
  <c r="J88" i="1" s="1"/>
  <c r="F31" i="17" l="1"/>
  <c r="E31" i="17"/>
  <c r="E40" i="17" l="1"/>
  <c r="E66" i="17" s="1"/>
  <c r="E104" i="17"/>
  <c r="E105" i="17" s="1"/>
  <c r="E106" i="17" s="1"/>
  <c r="E107" i="17" s="1"/>
  <c r="E97" i="17" s="1"/>
  <c r="E95" i="17"/>
  <c r="F95" i="17"/>
  <c r="F104" i="17"/>
  <c r="F40" i="17"/>
  <c r="F66" i="17" l="1"/>
  <c r="F44" i="17"/>
  <c r="F83" i="17" s="1"/>
  <c r="E67" i="17"/>
  <c r="E68" i="17" s="1"/>
  <c r="E44" i="17"/>
  <c r="F105" i="17"/>
  <c r="F106" i="17" s="1"/>
  <c r="F107" i="17" s="1"/>
  <c r="F97" i="17" s="1"/>
  <c r="E99" i="17"/>
  <c r="J95" i="17"/>
  <c r="G34" i="29" l="1"/>
  <c r="F67" i="17"/>
  <c r="F68" i="17" s="1"/>
  <c r="E70" i="17"/>
  <c r="E85" i="17" s="1"/>
  <c r="J97" i="17"/>
  <c r="F99" i="17"/>
  <c r="J99" i="17" s="1"/>
  <c r="E83" i="17"/>
  <c r="J44" i="17"/>
  <c r="G64" i="29"/>
  <c r="F70" i="17" l="1"/>
  <c r="F85" i="17" s="1"/>
  <c r="G38" i="29"/>
  <c r="G58" i="29" s="1"/>
  <c r="G102" i="4"/>
  <c r="G46" i="29"/>
  <c r="F34" i="29"/>
  <c r="F64" i="29"/>
  <c r="E87" i="17"/>
  <c r="J83" i="17"/>
  <c r="G65" i="29"/>
  <c r="D34" i="17"/>
  <c r="F66" i="29"/>
  <c r="F67" i="29" s="1"/>
  <c r="H34" i="17"/>
  <c r="J70" i="17" l="1"/>
  <c r="J85" i="17"/>
  <c r="G103" i="4"/>
  <c r="G106" i="4"/>
  <c r="G107" i="4" s="1"/>
  <c r="F38" i="29"/>
  <c r="F58" i="29" s="1"/>
  <c r="F102" i="4"/>
  <c r="F46" i="29"/>
  <c r="G66" i="29"/>
  <c r="F87" i="17"/>
  <c r="J87" i="17" s="1"/>
  <c r="F65" i="29"/>
  <c r="F68" i="29" s="1"/>
  <c r="E85" i="1" s="1"/>
  <c r="F47" i="29"/>
  <c r="G34" i="17"/>
  <c r="E84" i="1"/>
  <c r="F48" i="29" l="1"/>
  <c r="F50" i="29" s="1"/>
  <c r="F60" i="29" s="1"/>
  <c r="F62" i="29" s="1"/>
  <c r="E87" i="1" s="1"/>
  <c r="G67" i="29"/>
  <c r="G47" i="29"/>
  <c r="G48" i="29" s="1"/>
  <c r="G50" i="29" s="1"/>
  <c r="G60" i="29" s="1"/>
  <c r="F103" i="4"/>
  <c r="F106" i="4"/>
  <c r="F107" i="4" s="1"/>
  <c r="E30" i="1"/>
  <c r="E57" i="1"/>
  <c r="E86" i="1" l="1"/>
  <c r="E88" i="1" s="1"/>
  <c r="F86" i="1"/>
  <c r="G62" i="29"/>
  <c r="F84" i="1"/>
  <c r="G68" i="29"/>
  <c r="F85" i="1" s="1"/>
  <c r="K85" i="1" s="1"/>
  <c r="E58" i="1" l="1"/>
  <c r="E59" i="1" s="1"/>
  <c r="K86" i="1"/>
  <c r="E31" i="1"/>
  <c r="E32" i="1" s="1"/>
  <c r="F30" i="1"/>
  <c r="F57" i="1"/>
  <c r="K84" i="1"/>
  <c r="K57" i="1"/>
  <c r="K30" i="1"/>
  <c r="F31" i="1"/>
  <c r="K31" i="1"/>
  <c r="F87" i="1"/>
  <c r="F58" i="1" s="1"/>
  <c r="F34" i="17"/>
  <c r="E34" i="17"/>
  <c r="F59" i="1" l="1"/>
  <c r="F32" i="1"/>
  <c r="K58" i="1"/>
  <c r="K59" i="1" s="1"/>
  <c r="K32" i="1"/>
  <c r="F88" i="1"/>
  <c r="K87" i="1"/>
  <c r="K88" i="1" s="1"/>
  <c r="D16" i="11" l="1"/>
</calcChain>
</file>

<file path=xl/sharedStrings.xml><?xml version="1.0" encoding="utf-8"?>
<sst xmlns="http://schemas.openxmlformats.org/spreadsheetml/2006/main" count="1332" uniqueCount="590">
  <si>
    <t>Regulatory Financial Performance Report</t>
  </si>
  <si>
    <t xml:space="preserve">                           </t>
  </si>
  <si>
    <t>RIIO-2 start date (enter 2022 for 2021-22)</t>
  </si>
  <si>
    <t>Licensee</t>
  </si>
  <si>
    <t>NGGT (TO+SO)</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</si>
  <si>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</si>
  <si>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</si>
  <si>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</si>
  <si>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</si>
  <si>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</si>
  <si>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</si>
  <si>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</si>
  <si>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</si>
  <si>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</si>
  <si>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</si>
  <si>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</si>
  <si>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</si>
  <si>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</si>
  <si>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</si>
  <si>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</si>
  <si>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</si>
  <si>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</si>
  <si>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</si>
  <si>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</si>
  <si>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</si>
  <si>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</si>
  <si>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</si>
  <si>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</si>
  <si>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</si>
  <si>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</si>
  <si>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</si>
  <si>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</si>
  <si>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</si>
  <si>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</si>
  <si>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</si>
  <si>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</si>
  <si>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</si>
  <si>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</si>
  <si>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</si>
  <si>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</si>
  <si>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</si>
  <si>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</si>
  <si>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</si>
  <si>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</si>
  <si>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</si>
  <si>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</si>
  <si>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</si>
  <si>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</si>
  <si>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</si>
  <si>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</si>
  <si>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</si>
  <si>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</si>
  <si>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</si>
  <si>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</si>
  <si>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</si>
  <si>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</si>
  <si>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</si>
  <si>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</si>
  <si>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</si>
  <si>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</si>
  <si>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</si>
  <si>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</si>
  <si>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</si>
  <si>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</si>
  <si>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</si>
  <si>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</si>
  <si>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</si>
  <si>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</si>
  <si>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</si>
  <si>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</si>
  <si>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</si>
  <si>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</si>
  <si>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</si>
  <si>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</si>
  <si>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</si>
  <si>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</si>
  <si>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</si>
  <si>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</si>
  <si>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Cadent-NW</t>
  </si>
  <si>
    <t>NGN</t>
  </si>
  <si>
    <t>SGN - Scotland</t>
  </si>
  <si>
    <t>SGN - Southern</t>
  </si>
  <si>
    <t>WWU</t>
  </si>
  <si>
    <t>NGGT (TO)</t>
  </si>
  <si>
    <t>NGGT (SO)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</si>
  <si>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</si>
  <si>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</si>
  <si>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</si>
  <si>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</si>
  <si>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</si>
  <si>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</si>
  <si>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</si>
  <si>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</si>
  <si>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</si>
  <si>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</si>
  <si>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</si>
  <si>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</si>
  <si>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</si>
  <si>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</si>
  <si>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</si>
  <si>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</si>
  <si>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</si>
  <si>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</si>
  <si>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</si>
  <si>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</si>
  <si>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</si>
  <si>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</si>
  <si>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</si>
  <si>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</si>
  <si>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</si>
  <si>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</si>
  <si>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</si>
  <si>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</si>
  <si>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</si>
  <si>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</si>
  <si>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</si>
  <si>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</si>
  <si>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</si>
  <si>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</si>
  <si>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</si>
  <si>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</si>
  <si>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</si>
  <si>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</si>
  <si>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</si>
  <si>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</si>
  <si>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</si>
  <si>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</si>
  <si>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</si>
  <si>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</si>
  <si>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</si>
  <si>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</si>
  <si>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</si>
  <si>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</si>
  <si>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</si>
  <si>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</si>
  <si>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</si>
  <si>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</si>
  <si>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</si>
  <si>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</si>
  <si>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</si>
  <si>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</si>
  <si>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</si>
  <si>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</si>
  <si>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</si>
  <si>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R6 - Net Debt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</si>
  <si>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</si>
  <si>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</si>
  <si>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</si>
  <si>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</si>
  <si>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</si>
  <si>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</si>
  <si>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</si>
  <si>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</si>
  <si>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</si>
  <si>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</si>
  <si>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</si>
  <si>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</si>
  <si>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</si>
  <si>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</si>
  <si>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</si>
  <si>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</si>
  <si>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</si>
  <si>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</si>
  <si>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</si>
  <si>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</si>
  <si>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</si>
  <si>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</si>
  <si>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</si>
  <si>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</si>
  <si>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</si>
  <si>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</si>
  <si>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</si>
  <si>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</si>
  <si>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</si>
  <si>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</si>
  <si>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</si>
  <si>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</si>
  <si>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</si>
  <si>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</si>
  <si>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</si>
  <si>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</si>
  <si>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</si>
  <si>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</si>
  <si>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</si>
  <si>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</si>
  <si>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</si>
  <si>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</si>
  <si>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</si>
  <si>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</si>
  <si>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</si>
  <si>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</si>
  <si>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</si>
  <si>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</si>
  <si>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</si>
  <si>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</si>
  <si>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</si>
  <si>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</si>
  <si>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</si>
  <si>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</si>
  <si>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</si>
  <si>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</si>
  <si>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</si>
  <si>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</si>
  <si>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</si>
  <si>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Total Other Turnover Items</t>
  </si>
  <si>
    <t>Other adjustments - please list</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</si>
  <si>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</si>
  <si>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</si>
  <si>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</si>
  <si>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</si>
  <si>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</si>
  <si>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</si>
  <si>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</si>
  <si>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</si>
  <si>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</si>
  <si>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</si>
  <si>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</si>
  <si>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</si>
  <si>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</si>
  <si>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</si>
  <si>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</si>
  <si>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</si>
  <si>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</si>
  <si>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</si>
  <si>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</si>
  <si>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</si>
  <si>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</si>
  <si>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</si>
  <si>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</si>
  <si>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</si>
  <si>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</si>
  <si>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</si>
  <si>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</si>
  <si>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</si>
  <si>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</si>
  <si>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</si>
  <si>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</si>
  <si>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</si>
  <si>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</si>
  <si>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</si>
  <si>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</si>
  <si>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</si>
  <si>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</si>
  <si>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</si>
  <si>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</si>
  <si>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</si>
  <si>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</si>
  <si>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</si>
  <si>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</si>
  <si>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</si>
  <si>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</si>
  <si>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</si>
  <si>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</si>
  <si>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</si>
  <si>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</si>
  <si>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</si>
  <si>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</si>
  <si>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</si>
  <si>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</si>
  <si>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</si>
  <si>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</si>
  <si>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</si>
  <si>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</si>
  <si>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</si>
  <si>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</si>
  <si>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</si>
  <si>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</si>
  <si>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</si>
  <si>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</si>
  <si>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</si>
  <si>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</si>
  <si>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Operational Costs Incurred</t>
  </si>
  <si>
    <t>Opex Incurred</t>
  </si>
  <si>
    <t>Total Expenditure Incurred</t>
  </si>
  <si>
    <t>Reconciling Items to Total Net costs after non-price control allocations</t>
  </si>
  <si>
    <t>Opex Reconciling Adjustments</t>
  </si>
  <si>
    <t xml:space="preserve">Total </t>
  </si>
  <si>
    <t>Capex Reconciling Adjustments</t>
  </si>
  <si>
    <t>Total Reconciling Items</t>
  </si>
  <si>
    <t>Total Net costs after non-price control allocations</t>
  </si>
  <si>
    <t>Total Costs per latest RRP submission(all sectors except ESO)*</t>
  </si>
  <si>
    <t>Total Costs per latest RRP submission (ESO)*</t>
  </si>
  <si>
    <t>Total Costs per latest RRP submission</t>
  </si>
  <si>
    <t>check</t>
  </si>
  <si>
    <t>Reconciling Items to Totex</t>
  </si>
  <si>
    <t>Total reconciling items not recognised in totex</t>
  </si>
  <si>
    <t>Reconciled Totex</t>
  </si>
  <si>
    <t>PCFM/ RRP reported Totex</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</si>
  <si>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</si>
  <si>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</si>
  <si>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</si>
  <si>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</si>
  <si>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</si>
  <si>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</si>
  <si>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</si>
  <si>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</si>
  <si>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</si>
  <si>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</si>
  <si>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</si>
  <si>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</si>
  <si>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</si>
  <si>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</si>
  <si>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</si>
  <si>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</si>
  <si>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</si>
  <si>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</si>
  <si>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</si>
  <si>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</si>
  <si>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</si>
  <si>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</si>
  <si>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</si>
  <si>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</si>
  <si>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</si>
  <si>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</si>
  <si>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</si>
  <si>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</si>
  <si>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</si>
  <si>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</si>
  <si>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</si>
  <si>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</si>
  <si>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</si>
  <si>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</si>
  <si>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</si>
  <si>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</si>
  <si>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</si>
  <si>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</si>
  <si>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</si>
  <si>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</si>
  <si>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</si>
  <si>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</si>
  <si>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</si>
  <si>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</si>
  <si>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</si>
  <si>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</si>
  <si>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</si>
  <si>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</si>
  <si>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</si>
  <si>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</si>
  <si>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</si>
  <si>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</si>
  <si>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</si>
  <si>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</si>
  <si>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</si>
  <si>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</si>
  <si>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</si>
  <si>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</si>
  <si>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</si>
  <si>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</si>
  <si>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</si>
  <si>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</si>
  <si>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</si>
  <si>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</si>
  <si>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</si>
  <si>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</si>
  <si>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</si>
  <si>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</si>
  <si>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</si>
  <si>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</si>
  <si>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</si>
  <si>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</si>
  <si>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</si>
  <si>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</si>
  <si>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</si>
  <si>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</si>
  <si>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</si>
  <si>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</si>
  <si>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</si>
  <si>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</si>
  <si>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</si>
  <si>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</si>
  <si>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</si>
  <si>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</si>
  <si>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</si>
  <si>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</si>
  <si>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</si>
  <si>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</si>
  <si>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</si>
  <si>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</si>
  <si>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</si>
  <si>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</si>
  <si>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</si>
  <si>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</si>
  <si>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</si>
  <si>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</si>
  <si>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</si>
  <si>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</si>
  <si>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</si>
  <si>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</si>
  <si>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</si>
  <si>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Unamortised Issue Costs</t>
  </si>
  <si>
    <t>Fixed asset investments not readily convertible to cash</t>
  </si>
  <si>
    <t>Preference shares</t>
  </si>
  <si>
    <t>Long term loans (Not for benefit of regulated business or distribution in nature)</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</si>
  <si>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</si>
  <si>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</si>
  <si>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</si>
  <si>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</si>
  <si>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</si>
  <si>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</si>
  <si>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</si>
  <si>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</si>
  <si>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</si>
  <si>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</si>
  <si>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</si>
  <si>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</si>
  <si>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</si>
  <si>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</si>
  <si>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</si>
  <si>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</si>
  <si>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</si>
  <si>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</si>
  <si>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</si>
  <si>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</si>
  <si>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</si>
  <si>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</si>
  <si>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</si>
  <si>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</si>
  <si>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</si>
  <si>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</si>
  <si>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</si>
  <si>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</si>
  <si>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</si>
  <si>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</si>
  <si>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</si>
  <si>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</si>
  <si>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</si>
  <si>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</si>
  <si>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</si>
  <si>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</si>
  <si>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</si>
  <si>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</si>
  <si>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</si>
  <si>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</si>
  <si>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</si>
  <si>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</si>
  <si>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</si>
  <si>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</si>
  <si>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</si>
  <si>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</si>
  <si>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</si>
  <si>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</si>
  <si>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</si>
  <si>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</si>
  <si>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</si>
  <si>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</si>
  <si>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</si>
  <si>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</si>
  <si>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</si>
  <si>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</si>
  <si>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</si>
  <si>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</si>
  <si>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</si>
  <si>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</si>
  <si>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</si>
  <si>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</si>
  <si>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</si>
  <si>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</si>
  <si>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</si>
  <si>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</si>
  <si>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</si>
  <si>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</si>
  <si>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</si>
  <si>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</si>
  <si>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</si>
  <si>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</si>
  <si>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</si>
  <si>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</si>
  <si>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</si>
  <si>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</si>
  <si>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</si>
  <si>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</si>
  <si>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</si>
  <si>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</si>
  <si>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</si>
  <si>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</si>
  <si>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</si>
  <si>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</si>
  <si>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</si>
  <si>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</si>
  <si>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</si>
  <si>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</si>
  <si>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</si>
  <si>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</si>
  <si>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</si>
  <si>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</si>
  <si>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</si>
  <si>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</si>
  <si>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</si>
  <si>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</si>
  <si>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</si>
  <si>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</si>
  <si>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</si>
  <si>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</si>
  <si>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</si>
  <si>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</si>
  <si>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</si>
  <si>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</si>
  <si>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</si>
  <si>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</si>
  <si>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</si>
  <si>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</si>
  <si>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</si>
  <si>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</si>
  <si>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</si>
  <si>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</si>
  <si>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</si>
  <si>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</si>
  <si>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</si>
  <si>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</si>
  <si>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</si>
  <si>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</si>
  <si>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</si>
  <si>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</si>
  <si>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</si>
  <si>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</si>
  <si>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</si>
  <si>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</si>
  <si>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</si>
  <si>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</si>
  <si>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</si>
  <si>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</si>
  <si>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</si>
  <si>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</si>
  <si>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</si>
  <si>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</si>
  <si>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</si>
  <si>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</si>
  <si>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</si>
  <si>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</si>
  <si>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 this section, rows 13-99 do not apply to ESO</t>
  </si>
  <si>
    <t>(ONLY APPLIES TO NGGT - SO)</t>
  </si>
  <si>
    <t>SP Cashflow View</t>
  </si>
  <si>
    <t>V1.0</t>
  </si>
  <si>
    <t>Formulas amended in cells E36:H37 to mirrr D36 &amp; D37 as were incorrect</t>
  </si>
  <si>
    <t>R3</t>
  </si>
  <si>
    <t>Sum formula added to cell E178</t>
  </si>
  <si>
    <t>Formula in cell E180 amended to ensure correct total is being pulled through into the Check sum in Row 182</t>
  </si>
  <si>
    <t>Check formula in E182 amended to ensure correct values are being compared</t>
  </si>
  <si>
    <t>R7</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</si>
  <si>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</si>
  <si>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N/A</t>
  </si>
  <si>
    <t>Highest Paid Director</t>
  </si>
  <si>
    <t>Total (3)</t>
  </si>
  <si>
    <t>We have reported the values above consistent with  with UK-adopted international accounting
standards (“IAS”) in conformity with the requirements of the Companies Act 2006.</t>
  </si>
  <si>
    <t>IFRS 16 Lease Interest</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</si>
  <si>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</si>
  <si>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</si>
  <si>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</si>
  <si>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</si>
  <si>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</si>
  <si>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</si>
  <si>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</si>
  <si>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</si>
  <si>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</si>
  <si>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</si>
  <si>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</si>
  <si>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</si>
  <si>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Timing Delivery Difference</t>
  </si>
  <si>
    <t>[other Enduring Value adjustment]</t>
  </si>
  <si>
    <t>[Cross Price Control]</t>
  </si>
  <si>
    <t>Total property, plant and equipment in use</t>
  </si>
  <si>
    <t>[Input description]</t>
  </si>
  <si>
    <t>Adjust ongoing pension costs for IAS 19 present value accrual</t>
  </si>
  <si>
    <t>Pensions Deficit Repair Payments</t>
  </si>
  <si>
    <t>Right of Use Assets</t>
  </si>
  <si>
    <t>Indirect Income</t>
  </si>
  <si>
    <t>Other Operating Income</t>
  </si>
  <si>
    <t>HVDC Redress Fund</t>
  </si>
  <si>
    <t>TIRG related expenditure</t>
  </si>
  <si>
    <t>SPPS Depreciation of non-system assets</t>
  </si>
  <si>
    <t>Non Trading Rechargable Costs</t>
  </si>
  <si>
    <t>Non-System Capex</t>
  </si>
  <si>
    <t>Non Controllable Opex (Rates/Established Pension Deficit/Excluded, Consented and De Minimis Services/Pension Scheme Levy/Bad Debts)</t>
  </si>
  <si>
    <t>Innovation (NIC/NIA) Expenditure less IRM Expenditure (Reported as Price Control Totex)</t>
  </si>
  <si>
    <t>DRS Expenditure</t>
  </si>
  <si>
    <t>Capex Related Party Margin</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</si>
  <si>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</si>
  <si>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</si>
  <si>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</si>
  <si>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</si>
  <si>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</si>
  <si>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</si>
  <si>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</si>
  <si>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</si>
  <si>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Transfer of Assets from Customers</t>
  </si>
  <si>
    <t>The main difference between the Net Profit values per the Statutory Accounts and related to the Regulatory Business is due to the impact of Deferred Taxes on the Statutory accounting profits. Furthermore there are smaller impacts due to ; Directly Remunerated Services revenues of £24m being included in the Statutory value but not included as part of the regulatory revenue above (RRt) and due to the impact of our enduring value adjustments for "Timing" on totex performance which reduce the regulatory tax charge (as lower assumed totex allowances will reduce revenues and therefore taxable profits in the PCFM)</t>
  </si>
  <si>
    <t/>
  </si>
  <si>
    <t>18/19</t>
  </si>
  <si>
    <t>OK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</si>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</sst>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00"/>
    <numFmt numFmtId="353" formatCode="#,##0.0;\-#,##0.0;\-;@"/>
  </numFmts>
  <fonts count="276">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10"/>
      <color theme="0" tint="-0.34998626667073579"/>
      <name val="Verdana"/>
      <family val="2"/>
    </font>
    <font>
      <sz val="10"/>
      <color rgb="FFFF0000"/>
      <name val="Gill Sans MT"/>
      <family val="2"/>
    </font>
  </fonts>
  <fills count="13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51693">
    <xf numFmtId="0" fontId="0" fillId="0" borderId="0"/>
    <xf numFmtId="164" fontId="6" fillId="0" borderId="0" applyFont="0" applyFill="0" applyBorder="0" applyAlignment="0" applyProtection="0"/>
    <xf numFmtId="164" fontId="8" fillId="0" borderId="0" applyFont="0" applyFill="0" applyBorder="0" applyAlignment="0" applyProtection="0"/>
    <xf numFmtId="0" fontId="8" fillId="0" borderId="0"/>
    <xf numFmtId="0" fontId="11" fillId="0" borderId="0"/>
    <xf numFmtId="0" fontId="8" fillId="0" borderId="0"/>
    <xf numFmtId="166" fontId="8" fillId="0" borderId="0" applyFont="0" applyFill="0" applyBorder="0" applyAlignment="0" applyProtection="0"/>
    <xf numFmtId="0" fontId="11" fillId="0" borderId="0"/>
    <xf numFmtId="0" fontId="11" fillId="0" borderId="0"/>
    <xf numFmtId="0" fontId="11" fillId="0" borderId="0"/>
    <xf numFmtId="0" fontId="11" fillId="0" borderId="0"/>
    <xf numFmtId="0" fontId="12"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3" fillId="1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9" fontId="9" fillId="0" borderId="0" applyFont="0" applyFill="0" applyBorder="0" applyAlignment="0" applyProtection="0"/>
    <xf numFmtId="4" fontId="15" fillId="18" borderId="3" applyNumberFormat="0" applyProtection="0">
      <alignment vertical="center"/>
    </xf>
    <xf numFmtId="4" fontId="16" fillId="18" borderId="3" applyNumberFormat="0" applyProtection="0">
      <alignment vertical="center"/>
    </xf>
    <xf numFmtId="4" fontId="15" fillId="18" borderId="3" applyNumberFormat="0" applyProtection="0">
      <alignment horizontal="left" vertical="center" indent="1"/>
    </xf>
    <xf numFmtId="0" fontId="15" fillId="18" borderId="3" applyNumberFormat="0" applyProtection="0">
      <alignment horizontal="left" vertical="top" indent="1"/>
    </xf>
    <xf numFmtId="4" fontId="15" fillId="19" borderId="0" applyNumberFormat="0" applyProtection="0">
      <alignment horizontal="left" vertical="center" indent="1"/>
    </xf>
    <xf numFmtId="4" fontId="17" fillId="20" borderId="3" applyNumberFormat="0" applyProtection="0">
      <alignment horizontal="right" vertical="center"/>
    </xf>
    <xf numFmtId="4" fontId="17" fillId="21" borderId="3" applyNumberFormat="0" applyProtection="0">
      <alignment horizontal="right" vertical="center"/>
    </xf>
    <xf numFmtId="4" fontId="17" fillId="22" borderId="3" applyNumberFormat="0" applyProtection="0">
      <alignment horizontal="right" vertical="center"/>
    </xf>
    <xf numFmtId="4" fontId="17" fillId="23" borderId="3" applyNumberFormat="0" applyProtection="0">
      <alignment horizontal="right" vertical="center"/>
    </xf>
    <xf numFmtId="4" fontId="17" fillId="24" borderId="3" applyNumberFormat="0" applyProtection="0">
      <alignment horizontal="right" vertical="center"/>
    </xf>
    <xf numFmtId="4" fontId="17" fillId="25" borderId="3" applyNumberFormat="0" applyProtection="0">
      <alignment horizontal="right" vertical="center"/>
    </xf>
    <xf numFmtId="4" fontId="17" fillId="26" borderId="3" applyNumberFormat="0" applyProtection="0">
      <alignment horizontal="right" vertical="center"/>
    </xf>
    <xf numFmtId="4" fontId="17" fillId="27" borderId="3" applyNumberFormat="0" applyProtection="0">
      <alignment horizontal="right" vertical="center"/>
    </xf>
    <xf numFmtId="4" fontId="17" fillId="28" borderId="3" applyNumberFormat="0" applyProtection="0">
      <alignment horizontal="right" vertical="center"/>
    </xf>
    <xf numFmtId="4" fontId="15" fillId="29" borderId="4" applyNumberFormat="0" applyProtection="0">
      <alignment horizontal="left" vertical="center" indent="1"/>
    </xf>
    <xf numFmtId="4" fontId="17" fillId="30" borderId="0" applyNumberFormat="0" applyProtection="0">
      <alignment horizontal="left" vertical="center" indent="1"/>
    </xf>
    <xf numFmtId="4" fontId="18" fillId="31" borderId="0" applyNumberFormat="0" applyProtection="0">
      <alignment horizontal="left" vertical="center" indent="1"/>
    </xf>
    <xf numFmtId="4" fontId="17" fillId="19" borderId="3" applyNumberFormat="0" applyProtection="0">
      <alignment horizontal="right" vertical="center"/>
    </xf>
    <xf numFmtId="4" fontId="17" fillId="30" borderId="0" applyNumberFormat="0" applyProtection="0">
      <alignment horizontal="left" vertical="center" indent="1"/>
    </xf>
    <xf numFmtId="4" fontId="17" fillId="19" borderId="0"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top" indent="1"/>
    </xf>
    <xf numFmtId="0" fontId="8" fillId="19" borderId="3" applyNumberFormat="0" applyProtection="0">
      <alignment horizontal="left" vertical="center" indent="1"/>
    </xf>
    <xf numFmtId="0" fontId="8" fillId="19" borderId="3" applyNumberFormat="0" applyProtection="0">
      <alignment horizontal="left" vertical="top" indent="1"/>
    </xf>
    <xf numFmtId="0" fontId="8" fillId="32" borderId="3" applyNumberFormat="0" applyProtection="0">
      <alignment horizontal="left" vertical="center" indent="1"/>
    </xf>
    <xf numFmtId="0" fontId="8" fillId="32" borderId="3" applyNumberFormat="0" applyProtection="0">
      <alignment horizontal="left" vertical="top" indent="1"/>
    </xf>
    <xf numFmtId="0" fontId="8" fillId="30" borderId="3" applyNumberFormat="0" applyProtection="0">
      <alignment horizontal="left" vertical="center" indent="1"/>
    </xf>
    <xf numFmtId="0" fontId="8" fillId="30" borderId="3" applyNumberFormat="0" applyProtection="0">
      <alignment horizontal="left" vertical="top" indent="1"/>
    </xf>
    <xf numFmtId="0" fontId="8" fillId="33" borderId="1" applyNumberFormat="0">
      <protection locked="0"/>
    </xf>
    <xf numFmtId="4" fontId="17" fillId="34" borderId="3" applyNumberFormat="0" applyProtection="0">
      <alignment vertical="center"/>
    </xf>
    <xf numFmtId="4" fontId="19" fillId="34" borderId="3" applyNumberFormat="0" applyProtection="0">
      <alignment vertical="center"/>
    </xf>
    <xf numFmtId="4" fontId="17" fillId="34" borderId="3" applyNumberFormat="0" applyProtection="0">
      <alignment horizontal="left" vertical="center" indent="1"/>
    </xf>
    <xf numFmtId="0" fontId="17" fillId="34" borderId="3" applyNumberFormat="0" applyProtection="0">
      <alignment horizontal="left" vertical="top" indent="1"/>
    </xf>
    <xf numFmtId="4" fontId="17" fillId="30" borderId="3" applyNumberFormat="0" applyProtection="0">
      <alignment horizontal="right" vertical="center"/>
    </xf>
    <xf numFmtId="4" fontId="19" fillId="30" borderId="3" applyNumberFormat="0" applyProtection="0">
      <alignment horizontal="right" vertical="center"/>
    </xf>
    <xf numFmtId="4" fontId="17" fillId="19" borderId="3" applyNumberFormat="0" applyProtection="0">
      <alignment horizontal="left" vertical="center" indent="1"/>
    </xf>
    <xf numFmtId="0" fontId="17" fillId="19" borderId="3" applyNumberFormat="0" applyProtection="0">
      <alignment horizontal="left" vertical="top" indent="1"/>
    </xf>
    <xf numFmtId="4" fontId="20" fillId="35" borderId="0" applyNumberFormat="0" applyProtection="0">
      <alignment horizontal="left" vertical="center" indent="1"/>
    </xf>
    <xf numFmtId="4" fontId="21" fillId="30" borderId="3" applyNumberFormat="0" applyProtection="0">
      <alignment horizontal="right" vertical="center"/>
    </xf>
    <xf numFmtId="0" fontId="22" fillId="0" borderId="0" applyNumberFormat="0" applyFill="0" applyBorder="0" applyAlignment="0" applyProtection="0"/>
    <xf numFmtId="0" fontId="8" fillId="0" borderId="0"/>
    <xf numFmtId="9" fontId="23" fillId="0" borderId="0" applyFont="0" applyFill="0" applyBorder="0" applyAlignment="0" applyProtection="0"/>
    <xf numFmtId="0" fontId="6" fillId="0" borderId="0"/>
    <xf numFmtId="0" fontId="8" fillId="33" borderId="6" applyNumberFormat="0">
      <protection locked="0"/>
    </xf>
    <xf numFmtId="9" fontId="6" fillId="0" borderId="0" applyFont="0" applyFill="0" applyBorder="0" applyAlignment="0" applyProtection="0"/>
    <xf numFmtId="0" fontId="8" fillId="0" borderId="0"/>
    <xf numFmtId="0" fontId="6" fillId="0" borderId="0"/>
    <xf numFmtId="0" fontId="8" fillId="0" borderId="0"/>
    <xf numFmtId="167" fontId="6" fillId="3" borderId="6">
      <alignment vertical="center"/>
      <protection locked="0"/>
    </xf>
    <xf numFmtId="167" fontId="6" fillId="43" borderId="6">
      <alignment vertical="center"/>
    </xf>
    <xf numFmtId="9" fontId="11" fillId="0" borderId="0" applyFont="0" applyFill="0" applyBorder="0" applyAlignment="0" applyProtection="0"/>
    <xf numFmtId="0" fontId="24" fillId="0" borderId="0">
      <alignment vertical="top"/>
    </xf>
    <xf numFmtId="0" fontId="11" fillId="0" borderId="0"/>
    <xf numFmtId="0" fontId="6" fillId="0" borderId="0"/>
    <xf numFmtId="0" fontId="27" fillId="0" borderId="0"/>
    <xf numFmtId="0" fontId="8" fillId="0" borderId="0"/>
    <xf numFmtId="0" fontId="8" fillId="0" borderId="0"/>
    <xf numFmtId="0" fontId="24" fillId="0" borderId="0"/>
    <xf numFmtId="167" fontId="6" fillId="3" borderId="6">
      <alignment vertical="center"/>
      <protection locked="0"/>
    </xf>
    <xf numFmtId="0" fontId="33" fillId="0" borderId="0" applyNumberFormat="0" applyFill="0" applyBorder="0" applyAlignment="0" applyProtection="0"/>
    <xf numFmtId="0" fontId="24" fillId="0" borderId="0"/>
    <xf numFmtId="168" fontId="36" fillId="48" borderId="0" applyBorder="0">
      <alignment vertical="center"/>
    </xf>
    <xf numFmtId="164" fontId="6" fillId="0" borderId="0" applyFont="0" applyFill="0" applyBorder="0" applyAlignment="0" applyProtection="0"/>
    <xf numFmtId="168" fontId="37" fillId="49" borderId="0"/>
    <xf numFmtId="0" fontId="11" fillId="0" borderId="0"/>
    <xf numFmtId="0" fontId="27" fillId="0" borderId="0"/>
    <xf numFmtId="0" fontId="6" fillId="0" borderId="0"/>
    <xf numFmtId="0" fontId="6"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0" fontId="8" fillId="0" borderId="0">
      <alignment vertical="top"/>
    </xf>
    <xf numFmtId="180" fontId="8" fillId="0" borderId="0">
      <alignment vertical="top"/>
    </xf>
    <xf numFmtId="181" fontId="42" fillId="0" borderId="0"/>
    <xf numFmtId="182" fontId="8" fillId="0" borderId="0"/>
    <xf numFmtId="182" fontId="8" fillId="0" borderId="0"/>
    <xf numFmtId="182" fontId="8" fillId="0" borderId="0"/>
    <xf numFmtId="182" fontId="8" fillId="0" borderId="0"/>
    <xf numFmtId="182" fontId="8" fillId="0" borderId="0"/>
    <xf numFmtId="180" fontId="43" fillId="0" borderId="0"/>
    <xf numFmtId="181" fontId="42" fillId="0" borderId="0"/>
    <xf numFmtId="182" fontId="8" fillId="0" borderId="0"/>
    <xf numFmtId="182" fontId="8" fillId="0" borderId="0"/>
    <xf numFmtId="182" fontId="8" fillId="0" borderId="0"/>
    <xf numFmtId="182" fontId="8" fillId="0" borderId="0"/>
    <xf numFmtId="182" fontId="8" fillId="0" borderId="0"/>
    <xf numFmtId="183" fontId="44" fillId="0" borderId="0" applyFont="0" applyFill="0" applyBorder="0" applyAlignment="0" applyProtection="0">
      <protection locked="0"/>
    </xf>
    <xf numFmtId="184" fontId="43" fillId="0" borderId="0">
      <alignment horizontal="right"/>
    </xf>
    <xf numFmtId="185" fontId="43" fillId="46" borderId="0"/>
    <xf numFmtId="186" fontId="43" fillId="46" borderId="0"/>
    <xf numFmtId="187" fontId="43" fillId="46" borderId="0"/>
    <xf numFmtId="188" fontId="43" fillId="46" borderId="0">
      <alignment horizontal="right"/>
    </xf>
    <xf numFmtId="0" fontId="11" fillId="0" borderId="0"/>
    <xf numFmtId="174" fontId="11" fillId="0" borderId="0"/>
    <xf numFmtId="174"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9"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180" fontId="8" fillId="0" borderId="0"/>
    <xf numFmtId="0" fontId="8" fillId="0" borderId="0"/>
    <xf numFmtId="180" fontId="11" fillId="0" borderId="0"/>
    <xf numFmtId="180" fontId="8" fillId="0" borderId="0"/>
    <xf numFmtId="180" fontId="8" fillId="0" borderId="0"/>
    <xf numFmtId="180" fontId="8" fillId="0" borderId="0"/>
    <xf numFmtId="18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11" fillId="0" borderId="0"/>
    <xf numFmtId="0" fontId="8" fillId="0" borderId="0"/>
    <xf numFmtId="0" fontId="8" fillId="0" borderId="0"/>
    <xf numFmtId="0" fontId="11" fillId="0" borderId="0"/>
    <xf numFmtId="0" fontId="11" fillId="0" borderId="0"/>
    <xf numFmtId="0" fontId="8" fillId="0" borderId="0"/>
    <xf numFmtId="0" fontId="11" fillId="0" borderId="0"/>
    <xf numFmtId="0" fontId="11" fillId="0" borderId="0"/>
    <xf numFmtId="180" fontId="11" fillId="0" borderId="0"/>
    <xf numFmtId="0" fontId="8" fillId="0" borderId="0"/>
    <xf numFmtId="0" fontId="8" fillId="0" borderId="0"/>
    <xf numFmtId="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18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18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18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8" fillId="0" borderId="0"/>
    <xf numFmtId="180" fontId="8" fillId="0" borderId="0" applyBorder="0"/>
    <xf numFmtId="180" fontId="45" fillId="0" borderId="0" applyNumberFormat="0" applyFont="0" applyFill="0" applyBorder="0" applyAlignment="0" applyProtection="0"/>
    <xf numFmtId="191" fontId="8" fillId="0" borderId="0" applyFont="0" applyFill="0" applyBorder="0" applyAlignment="0" applyProtection="0"/>
    <xf numFmtId="180" fontId="40" fillId="0" borderId="0" applyNumberFormat="0" applyFill="0" applyBorder="0" applyAlignment="0" applyProtection="0">
      <alignment vertical="top"/>
      <protection locked="0"/>
    </xf>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46" fillId="0" borderId="0">
      <alignment horizontal="right" vertical="center"/>
    </xf>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180" fontId="47" fillId="0" borderId="0"/>
    <xf numFmtId="38" fontId="48" fillId="0" borderId="0" applyFont="0" applyFill="0" applyBorder="0" applyAlignment="0" applyProtection="0"/>
    <xf numFmtId="38" fontId="4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38" fontId="48" fillId="0" borderId="0" applyFont="0" applyFill="0" applyBorder="0" applyAlignment="0" applyProtection="0"/>
    <xf numFmtId="38" fontId="48" fillId="0" borderId="0" applyFont="0" applyFill="0" applyBorder="0" applyAlignment="0" applyProtection="0"/>
    <xf numFmtId="180" fontId="47" fillId="0" borderId="0"/>
    <xf numFmtId="180" fontId="8" fillId="0" borderId="0" applyFont="0" applyFill="0" applyBorder="0" applyAlignment="0" applyProtection="0"/>
    <xf numFmtId="180" fontId="47" fillId="0" borderId="0"/>
    <xf numFmtId="180" fontId="47"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8" fillId="0" borderId="0" applyFont="0" applyFill="0" applyBorder="0" applyAlignment="0" applyProtection="0"/>
    <xf numFmtId="0" fontId="47" fillId="0" borderId="0"/>
    <xf numFmtId="180" fontId="8" fillId="0" borderId="0"/>
    <xf numFmtId="180" fontId="8" fillId="0" borderId="0"/>
    <xf numFmtId="18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8" fontId="48" fillId="0" borderId="0" applyFont="0" applyFill="0" applyBorder="0" applyAlignment="0" applyProtection="0"/>
    <xf numFmtId="193" fontId="8" fillId="0" borderId="0" applyFont="0" applyFill="0" applyBorder="0" applyAlignment="0" applyProtection="0"/>
    <xf numFmtId="180" fontId="42" fillId="0" borderId="0" applyFont="0" applyFill="0" applyBorder="0" applyAlignment="0" applyProtection="0"/>
    <xf numFmtId="193" fontId="8" fillId="0" borderId="0" applyFont="0" applyFill="0" applyBorder="0" applyAlignment="0" applyProtection="0"/>
    <xf numFmtId="180" fontId="8" fillId="0" borderId="0"/>
    <xf numFmtId="180" fontId="8" fillId="0" borderId="0"/>
    <xf numFmtId="0" fontId="8" fillId="0" borderId="0"/>
    <xf numFmtId="180" fontId="47" fillId="0" borderId="0"/>
    <xf numFmtId="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80" fontId="42" fillId="0" borderId="0" applyFont="0" applyFill="0" applyBorder="0" applyAlignment="0" applyProtection="0"/>
    <xf numFmtId="195"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39" fontId="8" fillId="0" borderId="0" applyFont="0" applyFill="0" applyBorder="0" applyAlignment="0" applyProtection="0"/>
    <xf numFmtId="180" fontId="42" fillId="0" borderId="0" applyFont="0" applyFill="0" applyBorder="0" applyAlignment="0" applyProtection="0"/>
    <xf numFmtId="39" fontId="8" fillId="0" borderId="0" applyFont="0" applyFill="0" applyBorder="0" applyAlignment="0" applyProtection="0"/>
    <xf numFmtId="180" fontId="8" fillId="0" borderId="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0" fontId="47" fillId="0" borderId="0"/>
    <xf numFmtId="180" fontId="40" fillId="0" borderId="0"/>
    <xf numFmtId="180" fontId="40" fillId="0" borderId="0"/>
    <xf numFmtId="38" fontId="48" fillId="0" borderId="0" applyAlignment="0" applyProtection="0"/>
    <xf numFmtId="38" fontId="48" fillId="0" borderId="0" applyFont="0" applyBorder="0" applyAlignment="0" applyProtection="0"/>
    <xf numFmtId="196" fontId="8" fillId="0" borderId="0" applyFont="0" applyFill="0" applyBorder="0" applyProtection="0">
      <alignment vertical="top"/>
    </xf>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0" fontId="47" fillId="0" borderId="0"/>
    <xf numFmtId="18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7" fillId="0" borderId="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180" fontId="47" fillId="0" borderId="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xf numFmtId="38" fontId="39" fillId="0" borderId="0" applyAlignment="0" applyProtection="0"/>
    <xf numFmtId="0" fontId="8" fillId="0" borderId="0" applyFont="0" applyFill="0" applyBorder="0" applyAlignment="0" applyProtection="0"/>
    <xf numFmtId="196" fontId="8" fillId="0" borderId="0" applyFont="0" applyFill="0" applyBorder="0" applyProtection="0">
      <alignment vertical="top"/>
    </xf>
    <xf numFmtId="38" fontId="39" fillId="0" borderId="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0" fontId="8" fillId="0" borderId="0"/>
    <xf numFmtId="180" fontId="47" fillId="0" borderId="0"/>
    <xf numFmtId="197" fontId="8" fillId="0" borderId="0" applyFont="0" applyFill="0" applyBorder="0" applyAlignment="0" applyProtection="0"/>
    <xf numFmtId="180" fontId="42"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80" fontId="42"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180" fontId="47" fillId="0" borderId="0"/>
    <xf numFmtId="180" fontId="47" fillId="0" borderId="0"/>
    <xf numFmtId="180" fontId="8" fillId="0" borderId="0"/>
    <xf numFmtId="0" fontId="8" fillId="0" borderId="0" applyFont="0" applyFill="0" applyBorder="0" applyAlignment="0" applyProtection="0"/>
    <xf numFmtId="180" fontId="47" fillId="0" borderId="0"/>
    <xf numFmtId="38" fontId="39" fillId="0" borderId="0" applyAlignment="0" applyProtection="0"/>
    <xf numFmtId="180" fontId="8" fillId="0" borderId="0"/>
    <xf numFmtId="180" fontId="8" fillId="0" borderId="0"/>
    <xf numFmtId="38" fontId="48" fillId="0" borderId="0" applyFont="0" applyFill="0" applyBorder="0" applyAlignment="0" applyProtection="0"/>
    <xf numFmtId="38" fontId="48" fillId="0" borderId="0" applyFont="0" applyFill="0" applyBorder="0" applyAlignment="0" applyProtection="0"/>
    <xf numFmtId="201" fontId="8" fillId="0" borderId="0" applyFont="0" applyFill="0" applyBorder="0" applyAlignment="0" applyProtection="0"/>
    <xf numFmtId="180" fontId="42" fillId="0" borderId="0" applyFont="0" applyFill="0" applyBorder="0" applyAlignment="0" applyProtection="0"/>
    <xf numFmtId="176" fontId="8" fillId="0" borderId="0" applyFont="0" applyFill="0" applyBorder="0" applyAlignment="0" applyProtection="0"/>
    <xf numFmtId="201" fontId="8" fillId="0" borderId="0" applyFont="0" applyFill="0" applyBorder="0" applyAlignment="0" applyProtection="0"/>
    <xf numFmtId="176" fontId="8" fillId="0" borderId="0" applyFont="0" applyFill="0" applyBorder="0" applyAlignment="0" applyProtection="0"/>
    <xf numFmtId="202" fontId="8" fillId="0" borderId="0" applyFont="0" applyFill="0" applyBorder="0" applyAlignment="0" applyProtection="0"/>
    <xf numFmtId="180" fontId="42" fillId="0" borderId="0" applyFont="0" applyFill="0" applyBorder="0" applyAlignment="0" applyProtection="0"/>
    <xf numFmtId="203"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180" fontId="49" fillId="0" borderId="0"/>
    <xf numFmtId="180" fontId="49" fillId="0" borderId="0"/>
    <xf numFmtId="180" fontId="49" fillId="0" borderId="0"/>
    <xf numFmtId="18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47" fillId="0" borderId="0"/>
    <xf numFmtId="0" fontId="8" fillId="0" borderId="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xf numFmtId="0" fontId="8" fillId="0" borderId="0" applyFont="0" applyFill="0" applyBorder="0" applyAlignment="0" applyProtection="0"/>
    <xf numFmtId="18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18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180" fontId="50" fillId="0" borderId="0" applyNumberFormat="0" applyFill="0" applyBorder="0" applyProtection="0">
      <alignment horizontal="left"/>
    </xf>
    <xf numFmtId="180" fontId="51" fillId="0" borderId="0" applyNumberFormat="0" applyFill="0" applyBorder="0" applyProtection="0">
      <alignment horizontal="centerContinuous"/>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0" fontId="49" fillId="0" borderId="0"/>
    <xf numFmtId="180" fontId="49" fillId="0" borderId="0"/>
    <xf numFmtId="204" fontId="52" fillId="0" borderId="0"/>
    <xf numFmtId="180" fontId="40" fillId="0" borderId="0"/>
    <xf numFmtId="180" fontId="40" fillId="0" borderId="0"/>
    <xf numFmtId="180" fontId="49" fillId="0" borderId="0"/>
    <xf numFmtId="180" fontId="49" fillId="0" borderId="0"/>
    <xf numFmtId="180" fontId="49" fillId="0" borderId="0"/>
    <xf numFmtId="0" fontId="8" fillId="0" borderId="0" applyFont="0" applyFill="0" applyBorder="0" applyAlignment="0" applyProtection="0"/>
    <xf numFmtId="180" fontId="8" fillId="0" borderId="0"/>
    <xf numFmtId="180" fontId="47" fillId="0" borderId="0"/>
    <xf numFmtId="204" fontId="5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205" fontId="53" fillId="0" borderId="0" applyFont="0" applyFill="0" applyBorder="0" applyAlignment="0" applyProtection="0"/>
    <xf numFmtId="206" fontId="40" fillId="0" borderId="0" applyFont="0" applyFill="0" applyBorder="0" applyAlignment="0" applyProtection="0"/>
    <xf numFmtId="207" fontId="54" fillId="0" borderId="0"/>
    <xf numFmtId="208" fontId="40" fillId="0" borderId="0" applyFont="0" applyFill="0" applyBorder="0" applyAlignment="0" applyProtection="0"/>
    <xf numFmtId="209" fontId="53" fillId="0" borderId="0" applyFont="0" applyFill="0" applyBorder="0" applyAlignment="0" applyProtection="0"/>
    <xf numFmtId="0" fontId="11" fillId="0" borderId="0"/>
    <xf numFmtId="0" fontId="8" fillId="0" borderId="0"/>
    <xf numFmtId="0" fontId="8" fillId="0" borderId="0"/>
    <xf numFmtId="0" fontId="8" fillId="0" borderId="0"/>
    <xf numFmtId="18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11" fillId="0" borderId="0"/>
    <xf numFmtId="0" fontId="11" fillId="0" borderId="0"/>
    <xf numFmtId="0" fontId="8" fillId="0" borderId="0"/>
    <xf numFmtId="0" fontId="11" fillId="0" borderId="0"/>
    <xf numFmtId="0" fontId="8" fillId="0" borderId="0"/>
    <xf numFmtId="0" fontId="8" fillId="0" borderId="0"/>
    <xf numFmtId="0" fontId="8" fillId="0" borderId="0"/>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180" fontId="8" fillId="0" borderId="0"/>
    <xf numFmtId="210" fontId="8" fillId="0" borderId="0" applyBorder="0"/>
    <xf numFmtId="0" fontId="8" fillId="0" borderId="0"/>
    <xf numFmtId="0" fontId="8" fillId="0" borderId="0"/>
    <xf numFmtId="180" fontId="8" fillId="0" borderId="0" applyBorder="0"/>
    <xf numFmtId="210" fontId="8" fillId="0" borderId="0" applyBorder="0"/>
    <xf numFmtId="204" fontId="52" fillId="0" borderId="0"/>
    <xf numFmtId="211" fontId="54" fillId="0" borderId="0"/>
    <xf numFmtId="211" fontId="55" fillId="0" borderId="0"/>
    <xf numFmtId="212" fontId="54" fillId="0" borderId="0"/>
    <xf numFmtId="213" fontId="44" fillId="0" borderId="0" applyFont="0" applyFill="0" applyBorder="0" applyAlignment="0" applyProtection="0">
      <protection locked="0"/>
    </xf>
    <xf numFmtId="214" fontId="56" fillId="0" borderId="0"/>
    <xf numFmtId="180" fontId="55" fillId="0" borderId="0"/>
    <xf numFmtId="214" fontId="57" fillId="0" borderId="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189" fontId="58" fillId="56"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189" fontId="58" fillId="20"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189" fontId="58" fillId="57"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189" fontId="58" fillId="58"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189" fontId="58" fillId="59"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189" fontId="58" fillId="60" borderId="0" applyNumberFormat="0" applyBorder="0" applyAlignment="0" applyProtection="0"/>
    <xf numFmtId="215" fontId="54" fillId="0" borderId="0"/>
    <xf numFmtId="216" fontId="55" fillId="0" borderId="0"/>
    <xf numFmtId="215" fontId="59" fillId="0" borderId="0"/>
    <xf numFmtId="0" fontId="8" fillId="0" borderId="0"/>
    <xf numFmtId="0" fontId="8" fillId="0" borderId="0"/>
    <xf numFmtId="217" fontId="54" fillId="0" borderId="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189" fontId="58" fillId="32"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189" fontId="58" fillId="21"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189" fontId="58" fillId="2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189" fontId="58" fillId="58"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189" fontId="58" fillId="32"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89" fontId="58" fillId="23"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189" fontId="61" fillId="62"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9" fontId="61" fillId="21"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9" fontId="61" fillId="28"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189" fontId="61" fillId="63"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189" fontId="61" fillId="6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9" fontId="61" fillId="24" borderId="0" applyNumberFormat="0" applyBorder="0" applyAlignment="0" applyProtection="0"/>
    <xf numFmtId="0" fontId="42" fillId="0" borderId="0"/>
    <xf numFmtId="0" fontId="12" fillId="65" borderId="0" applyNumberFormat="0" applyBorder="0" applyAlignment="0" applyProtection="0"/>
    <xf numFmtId="0" fontId="12" fillId="12"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189" fontId="61" fillId="67" borderId="0" applyNumberFormat="0" applyBorder="0" applyAlignment="0" applyProtection="0"/>
    <xf numFmtId="0" fontId="12" fillId="68" borderId="0" applyNumberFormat="0" applyBorder="0" applyAlignment="0" applyProtection="0"/>
    <xf numFmtId="0" fontId="12" fillId="11"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89" fontId="61" fillId="22"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89" fontId="61" fillId="26" borderId="0" applyNumberFormat="0" applyBorder="0" applyAlignment="0" applyProtection="0"/>
    <xf numFmtId="0" fontId="12" fillId="68" borderId="0" applyNumberFormat="0" applyBorder="0" applyAlignment="0" applyProtection="0"/>
    <xf numFmtId="0" fontId="12" fillId="9"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189" fontId="61" fillId="63"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189" fontId="61" fillId="6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189" fontId="61" fillId="25" borderId="0" applyNumberFormat="0" applyBorder="0" applyAlignment="0" applyProtection="0"/>
    <xf numFmtId="218" fontId="62" fillId="0" borderId="9">
      <alignment horizontal="centerContinuous"/>
    </xf>
    <xf numFmtId="219" fontId="63" fillId="40" borderId="12">
      <alignment horizontal="center" vertical="center"/>
    </xf>
    <xf numFmtId="210" fontId="44" fillId="0" borderId="0" applyFont="0" applyFill="0" applyBorder="0" applyAlignment="0" applyProtection="0"/>
    <xf numFmtId="180" fontId="44" fillId="0" borderId="0" applyFont="0" applyFill="0" applyBorder="0" applyAlignment="0" applyProtection="0"/>
    <xf numFmtId="204" fontId="64" fillId="0" borderId="0" applyNumberFormat="0" applyFont="0" applyFill="0" applyBorder="0" applyProtection="0">
      <alignment horizontal="center"/>
    </xf>
    <xf numFmtId="220" fontId="65" fillId="0" borderId="0">
      <alignment horizontal="left"/>
    </xf>
    <xf numFmtId="0" fontId="56" fillId="0" borderId="0"/>
    <xf numFmtId="221" fontId="66" fillId="0" borderId="0" applyFont="0" applyFill="0" applyBorder="0" applyAlignment="0" applyProtection="0"/>
    <xf numFmtId="180" fontId="44" fillId="0" borderId="0" applyFont="0" applyFill="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9" fillId="55"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189" fontId="71" fillId="20" borderId="0" applyNumberFormat="0" applyBorder="0" applyAlignment="0" applyProtection="0"/>
    <xf numFmtId="222" fontId="72" fillId="75" borderId="7" applyNumberFormat="0" applyBorder="0" applyAlignment="0">
      <alignment horizontal="centerContinuous" vertical="center"/>
      <protection hidden="1"/>
    </xf>
    <xf numFmtId="1" fontId="73" fillId="76" borderId="10" applyNumberFormat="0" applyBorder="0" applyAlignment="0">
      <alignment horizontal="center" vertical="top" wrapText="1"/>
      <protection hidden="1"/>
    </xf>
    <xf numFmtId="223" fontId="8" fillId="0" borderId="0" applyFont="0" applyFill="0" applyBorder="0" applyAlignment="0" applyProtection="0"/>
    <xf numFmtId="193" fontId="8" fillId="0" borderId="0" applyNumberFormat="0" applyFont="0" applyAlignment="0" applyProtection="0"/>
    <xf numFmtId="180" fontId="74" fillId="77" borderId="0">
      <alignment horizontal="left"/>
    </xf>
    <xf numFmtId="224" fontId="75" fillId="0" borderId="0" applyFill="0" applyBorder="0" applyAlignment="0" applyProtection="0"/>
    <xf numFmtId="2" fontId="76" fillId="50" borderId="11" applyProtection="0">
      <alignment horizontal="left"/>
      <protection locked="0"/>
    </xf>
    <xf numFmtId="180" fontId="63" fillId="40" borderId="0" applyNumberFormat="0" applyFont="0" applyAlignment="0">
      <alignment horizontal="center"/>
    </xf>
    <xf numFmtId="225" fontId="77" fillId="40" borderId="0" applyFont="0" applyFill="0" applyBorder="0" applyAlignment="0" applyProtection="0"/>
    <xf numFmtId="180" fontId="78" fillId="0" borderId="0" applyNumberFormat="0" applyFill="0" applyBorder="0" applyAlignment="0" applyProtection="0"/>
    <xf numFmtId="180" fontId="79" fillId="0" borderId="9" applyNumberFormat="0" applyFill="0" applyAlignment="0" applyProtection="0"/>
    <xf numFmtId="180" fontId="54" fillId="0" borderId="0"/>
    <xf numFmtId="226" fontId="80" fillId="45" borderId="0" applyFont="0" applyFill="0" applyBorder="0" applyAlignment="0" applyProtection="0"/>
    <xf numFmtId="227" fontId="42" fillId="0" borderId="0" applyAlignment="0" applyProtection="0"/>
    <xf numFmtId="49" fontId="52" fillId="0" borderId="0" applyNumberFormat="0" applyAlignment="0" applyProtection="0">
      <alignment horizontal="left"/>
    </xf>
    <xf numFmtId="49" fontId="81" fillId="0" borderId="13" applyNumberFormat="0" applyAlignment="0" applyProtection="0">
      <alignment horizontal="left" wrapText="1"/>
    </xf>
    <xf numFmtId="49" fontId="82" fillId="0" borderId="0" applyAlignment="0" applyProtection="0">
      <alignment horizontal="left"/>
    </xf>
    <xf numFmtId="228" fontId="40" fillId="0" borderId="0" applyFont="0" applyFill="0" applyBorder="0" applyAlignment="0" applyProtection="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4" fillId="0" borderId="0"/>
    <xf numFmtId="229" fontId="42" fillId="0" borderId="0"/>
    <xf numFmtId="230" fontId="42" fillId="0" borderId="0"/>
    <xf numFmtId="231" fontId="42" fillId="0" borderId="0"/>
    <xf numFmtId="229" fontId="42" fillId="0" borderId="8"/>
    <xf numFmtId="230" fontId="42" fillId="0" borderId="8"/>
    <xf numFmtId="230" fontId="42" fillId="0" borderId="8"/>
    <xf numFmtId="231" fontId="42" fillId="0" borderId="8"/>
    <xf numFmtId="231" fontId="42" fillId="0" borderId="8"/>
    <xf numFmtId="229" fontId="42" fillId="0" borderId="8"/>
    <xf numFmtId="229" fontId="42" fillId="0" borderId="8"/>
    <xf numFmtId="229" fontId="42" fillId="0" borderId="0"/>
    <xf numFmtId="232" fontId="42" fillId="0" borderId="0"/>
    <xf numFmtId="180" fontId="44" fillId="0" borderId="0" applyFill="0" applyBorder="0" applyAlignment="0"/>
    <xf numFmtId="233" fontId="42" fillId="0" borderId="0"/>
    <xf numFmtId="234" fontId="42" fillId="0" borderId="0"/>
    <xf numFmtId="232" fontId="42" fillId="0" borderId="8"/>
    <xf numFmtId="233" fontId="42" fillId="0" borderId="8"/>
    <xf numFmtId="233" fontId="42" fillId="0" borderId="8"/>
    <xf numFmtId="234" fontId="42" fillId="0" borderId="8"/>
    <xf numFmtId="234" fontId="42" fillId="0" borderId="8"/>
    <xf numFmtId="232" fontId="42" fillId="0" borderId="8"/>
    <xf numFmtId="232" fontId="42" fillId="0" borderId="8"/>
    <xf numFmtId="232" fontId="42" fillId="0" borderId="0"/>
    <xf numFmtId="235" fontId="42" fillId="0" borderId="0">
      <alignment horizontal="right"/>
      <protection locked="0"/>
    </xf>
    <xf numFmtId="236" fontId="42" fillId="0" borderId="0">
      <alignment horizontal="right"/>
      <protection locked="0"/>
    </xf>
    <xf numFmtId="237" fontId="42" fillId="0" borderId="0"/>
    <xf numFmtId="238" fontId="42" fillId="0" borderId="0"/>
    <xf numFmtId="239" fontId="42" fillId="0" borderId="0"/>
    <xf numFmtId="237" fontId="42" fillId="0" borderId="8"/>
    <xf numFmtId="238" fontId="42" fillId="0" borderId="8"/>
    <xf numFmtId="238" fontId="42" fillId="0" borderId="8"/>
    <xf numFmtId="239" fontId="42" fillId="0" borderId="8"/>
    <xf numFmtId="239" fontId="42" fillId="0" borderId="8"/>
    <xf numFmtId="237" fontId="42" fillId="0" borderId="8"/>
    <xf numFmtId="237" fontId="42" fillId="0" borderId="8"/>
    <xf numFmtId="237" fontId="42" fillId="0" borderId="0"/>
    <xf numFmtId="240" fontId="8" fillId="46" borderId="0"/>
    <xf numFmtId="180" fontId="8" fillId="0" borderId="0">
      <alignment vertical="center"/>
    </xf>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189" fontId="87" fillId="61" borderId="14" applyNumberFormat="0" applyAlignment="0" applyProtection="0"/>
    <xf numFmtId="189" fontId="87" fillId="61" borderId="14" applyNumberFormat="0" applyAlignment="0" applyProtection="0"/>
    <xf numFmtId="38" fontId="88" fillId="0" borderId="0" applyNumberFormat="0" applyFill="0" applyBorder="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9" borderId="15" applyNumberFormat="0" applyAlignment="0" applyProtection="0"/>
    <xf numFmtId="0" fontId="89" fillId="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9" borderId="15" applyNumberFormat="0" applyAlignment="0" applyProtection="0"/>
    <xf numFmtId="0" fontId="89" fillId="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79" borderId="15" applyNumberFormat="0" applyAlignment="0" applyProtection="0"/>
    <xf numFmtId="189" fontId="90" fillId="79" borderId="15" applyNumberFormat="0" applyAlignment="0" applyProtection="0"/>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7" fontId="63" fillId="0" borderId="9">
      <alignment horizontal="center"/>
    </xf>
    <xf numFmtId="37" fontId="63" fillId="0" borderId="0">
      <alignment horizontal="center" vertical="center" wrapText="1"/>
    </xf>
    <xf numFmtId="1" fontId="91" fillId="0" borderId="16">
      <alignment vertical="top"/>
    </xf>
    <xf numFmtId="173" fontId="92" fillId="0" borderId="0" applyBorder="0">
      <alignment horizontal="right"/>
    </xf>
    <xf numFmtId="173" fontId="92" fillId="0" borderId="17" applyAlignment="0">
      <alignment horizontal="right"/>
    </xf>
    <xf numFmtId="241" fontId="40" fillId="0" borderId="0"/>
    <xf numFmtId="241" fontId="40" fillId="0" borderId="0"/>
    <xf numFmtId="241" fontId="40" fillId="0" borderId="0"/>
    <xf numFmtId="241" fontId="40" fillId="0" borderId="0"/>
    <xf numFmtId="241" fontId="40" fillId="0" borderId="0"/>
    <xf numFmtId="241" fontId="40" fillId="0" borderId="0"/>
    <xf numFmtId="241" fontId="40" fillId="0" borderId="0"/>
    <xf numFmtId="241" fontId="40" fillId="0" borderId="0"/>
    <xf numFmtId="38" fontId="8" fillId="0" borderId="0" applyFont="0" applyFill="0" applyBorder="0" applyAlignment="0" applyProtection="0"/>
    <xf numFmtId="204" fontId="44" fillId="0" borderId="0" applyFont="0" applyFill="0" applyBorder="0" applyAlignment="0" applyProtection="0">
      <protection locked="0"/>
    </xf>
    <xf numFmtId="40" fontId="44" fillId="0" borderId="0" applyFont="0" applyFill="0" applyBorder="0" applyAlignment="0" applyProtection="0">
      <protection locked="0"/>
    </xf>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0" fontId="8" fillId="0" borderId="0" applyNumberFormat="0" applyFont="0" applyBorder="0" applyAlignment="0"/>
    <xf numFmtId="207" fontId="54" fillId="0" borderId="0"/>
    <xf numFmtId="242" fontId="56" fillId="0" borderId="0"/>
    <xf numFmtId="180" fontId="93" fillId="0" borderId="0" applyFont="0" applyFill="0" applyBorder="0" applyAlignment="0" applyProtection="0">
      <alignment horizontal="right"/>
    </xf>
    <xf numFmtId="243" fontId="93" fillId="0" borderId="0" applyFont="0" applyFill="0" applyBorder="0" applyAlignment="0" applyProtection="0"/>
    <xf numFmtId="180" fontId="93" fillId="0" borderId="0" applyFont="0" applyFill="0" applyBorder="0" applyAlignment="0" applyProtection="0">
      <alignment horizontal="right"/>
    </xf>
    <xf numFmtId="0"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242" fontId="11" fillId="0" borderId="0" applyFont="0" applyFill="0" applyBorder="0" applyAlignment="0" applyProtection="0"/>
    <xf numFmtId="174" fontId="11" fillId="0" borderId="0" applyFont="0" applyFill="0" applyBorder="0" applyAlignment="0" applyProtection="0"/>
    <xf numFmtId="193" fontId="11" fillId="0" borderId="0" applyFont="0" applyFill="0" applyBorder="0" applyAlignment="0" applyProtection="0"/>
    <xf numFmtId="174"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244" fontId="11" fillId="0" borderId="0" applyFont="0" applyFill="0" applyBorder="0" applyAlignment="0" applyProtection="0"/>
    <xf numFmtId="245" fontId="11" fillId="0" borderId="0" applyFont="0" applyFill="0" applyBorder="0" applyAlignment="0" applyProtection="0"/>
    <xf numFmtId="245" fontId="11" fillId="0" borderId="0" applyFont="0" applyFill="0" applyBorder="0" applyAlignment="0" applyProtection="0"/>
    <xf numFmtId="173" fontId="11" fillId="0" borderId="0" applyFont="0" applyFill="0" applyBorder="0" applyAlignment="0" applyProtection="0"/>
    <xf numFmtId="188"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46"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47" fontId="8"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48" fontId="8" fillId="0" borderId="0" applyFont="0" applyFill="0" applyBorder="0" applyAlignment="0" applyProtection="0"/>
    <xf numFmtId="38" fontId="40" fillId="0" borderId="0" applyFill="0" applyBorder="0" applyProtection="0">
      <alignment horizontal="center"/>
    </xf>
    <xf numFmtId="180" fontId="94" fillId="0" borderId="0">
      <protection locked="0"/>
    </xf>
    <xf numFmtId="249" fontId="8" fillId="0" borderId="0" applyBorder="0"/>
    <xf numFmtId="250" fontId="52" fillId="0" borderId="0" applyBorder="0"/>
    <xf numFmtId="251" fontId="8" fillId="0" borderId="0" applyFill="0" applyBorder="0">
      <alignment horizontal="left"/>
    </xf>
    <xf numFmtId="180" fontId="95" fillId="0" borderId="0" applyNumberFormat="0" applyAlignment="0">
      <alignment horizontal="left"/>
    </xf>
    <xf numFmtId="37" fontId="8" fillId="80" borderId="0" applyFont="0" applyBorder="0" applyAlignment="0" applyProtection="0"/>
    <xf numFmtId="193" fontId="49" fillId="80" borderId="0" applyFont="0" applyBorder="0" applyAlignment="0" applyProtection="0"/>
    <xf numFmtId="39" fontId="49" fillId="80" borderId="0" applyFont="0" applyBorder="0" applyAlignment="0" applyProtection="0"/>
    <xf numFmtId="252" fontId="96" fillId="0" borderId="0"/>
    <xf numFmtId="253" fontId="44" fillId="0" borderId="0" applyFont="0" applyFill="0" applyBorder="0" applyAlignment="0" applyProtection="0">
      <protection locked="0"/>
    </xf>
    <xf numFmtId="254" fontId="44" fillId="0" borderId="0" applyFont="0" applyFill="0" applyBorder="0" applyAlignment="0" applyProtection="0">
      <protection locked="0"/>
    </xf>
    <xf numFmtId="255" fontId="8" fillId="0" borderId="0">
      <alignment horizontal="right"/>
    </xf>
    <xf numFmtId="180" fontId="93" fillId="0" borderId="0" applyFont="0" applyFill="0" applyBorder="0" applyAlignment="0" applyProtection="0">
      <alignment horizontal="right"/>
    </xf>
    <xf numFmtId="256" fontId="27" fillId="0" borderId="0" applyFont="0" applyFill="0" applyBorder="0" applyAlignment="0" applyProtection="0"/>
    <xf numFmtId="257" fontId="8" fillId="0" borderId="0" applyFont="0" applyFill="0" applyBorder="0" applyAlignment="0" applyProtection="0"/>
    <xf numFmtId="180" fontId="93" fillId="0" borderId="0" applyFont="0" applyFill="0" applyBorder="0" applyAlignment="0" applyProtection="0">
      <alignment horizontal="right"/>
    </xf>
    <xf numFmtId="256" fontId="12" fillId="0" borderId="0" applyFont="0" applyFill="0" applyBorder="0" applyAlignment="0" applyProtection="0"/>
    <xf numFmtId="251" fontId="8" fillId="0" borderId="0" applyFont="0" applyFill="0" applyBorder="0" applyAlignment="0" applyProtection="0"/>
    <xf numFmtId="256" fontId="12" fillId="0" borderId="0" applyFont="0" applyFill="0" applyBorder="0" applyAlignment="0" applyProtection="0"/>
    <xf numFmtId="256" fontId="12" fillId="0" borderId="0" applyFont="0" applyFill="0" applyBorder="0" applyAlignment="0" applyProtection="0"/>
    <xf numFmtId="258" fontId="8" fillId="0" borderId="0" applyFont="0" applyFill="0" applyBorder="0" applyAlignment="0" applyProtection="0"/>
    <xf numFmtId="180" fontId="8" fillId="0" borderId="0" applyFont="0" applyFill="0" applyBorder="0" applyAlignment="0" applyProtection="0"/>
    <xf numFmtId="49" fontId="97" fillId="81" borderId="0" applyAlignment="0" applyProtection="0">
      <alignment vertical="center"/>
    </xf>
    <xf numFmtId="259" fontId="43" fillId="46" borderId="11">
      <alignment horizontal="right"/>
    </xf>
    <xf numFmtId="260" fontId="40" fillId="0" borderId="0" applyFont="0" applyFill="0" applyBorder="0" applyAlignment="0" applyProtection="0"/>
    <xf numFmtId="229" fontId="42" fillId="45" borderId="18">
      <protection locked="0"/>
    </xf>
    <xf numFmtId="230" fontId="42" fillId="45" borderId="18">
      <protection locked="0"/>
    </xf>
    <xf numFmtId="231" fontId="42" fillId="45" borderId="18">
      <protection locked="0"/>
    </xf>
    <xf numFmtId="229" fontId="42" fillId="45" borderId="18">
      <protection locked="0"/>
    </xf>
    <xf numFmtId="232" fontId="42" fillId="45" borderId="18">
      <protection locked="0"/>
    </xf>
    <xf numFmtId="233" fontId="42" fillId="45" borderId="18">
      <protection locked="0"/>
    </xf>
    <xf numFmtId="234" fontId="42" fillId="45" borderId="18">
      <protection locked="0"/>
    </xf>
    <xf numFmtId="232" fontId="42" fillId="45" borderId="18">
      <protection locked="0"/>
    </xf>
    <xf numFmtId="235" fontId="42" fillId="37" borderId="18">
      <alignment horizontal="right"/>
      <protection locked="0"/>
    </xf>
    <xf numFmtId="236" fontId="42" fillId="37" borderId="18">
      <alignment horizontal="right"/>
      <protection locked="0"/>
    </xf>
    <xf numFmtId="0" fontId="42" fillId="82" borderId="18">
      <alignment horizontal="left"/>
      <protection locked="0"/>
    </xf>
    <xf numFmtId="49" fontId="42" fillId="38" borderId="18">
      <alignment horizontal="left" vertical="top" wrapText="1"/>
      <protection locked="0"/>
    </xf>
    <xf numFmtId="237" fontId="42" fillId="45" borderId="18">
      <protection locked="0"/>
    </xf>
    <xf numFmtId="238" fontId="42" fillId="45" borderId="18">
      <protection locked="0"/>
    </xf>
    <xf numFmtId="239" fontId="42" fillId="45" borderId="18">
      <protection locked="0"/>
    </xf>
    <xf numFmtId="237" fontId="42" fillId="45" borderId="18">
      <protection locked="0"/>
    </xf>
    <xf numFmtId="49" fontId="42" fillId="38" borderId="18">
      <alignment horizontal="left"/>
      <protection locked="0"/>
    </xf>
    <xf numFmtId="261" fontId="42" fillId="45" borderId="18">
      <alignment horizontal="left" indent="1"/>
      <protection locked="0"/>
    </xf>
    <xf numFmtId="262" fontId="8" fillId="45" borderId="19"/>
    <xf numFmtId="262" fontId="8" fillId="45" borderId="19"/>
    <xf numFmtId="262" fontId="8" fillId="45" borderId="19"/>
    <xf numFmtId="262" fontId="8" fillId="45" borderId="19"/>
    <xf numFmtId="262" fontId="8" fillId="45" borderId="19"/>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180" fontId="93" fillId="0" borderId="0" applyFont="0" applyFill="0" applyBorder="0" applyAlignment="0" applyProtection="0"/>
    <xf numFmtId="264" fontId="8" fillId="0" borderId="0" applyFont="0" applyFill="0" applyBorder="0" applyAlignment="0" applyProtection="0"/>
    <xf numFmtId="180" fontId="93" fillId="0" borderId="0" applyFont="0" applyFill="0" applyBorder="0" applyAlignment="0" applyProtection="0"/>
    <xf numFmtId="180" fontId="92" fillId="50" borderId="0">
      <alignment horizontal="left"/>
    </xf>
    <xf numFmtId="263" fontId="8" fillId="0" borderId="0" applyFill="0" applyBorder="0"/>
    <xf numFmtId="14" fontId="8" fillId="0" borderId="0"/>
    <xf numFmtId="265" fontId="8" fillId="0" borderId="0" applyFont="0" applyFill="0" applyBorder="0" applyAlignment="0" applyProtection="0"/>
    <xf numFmtId="266" fontId="8" fillId="0" borderId="0" applyFont="0" applyFill="0" applyBorder="0" applyProtection="0">
      <alignment vertical="top"/>
    </xf>
    <xf numFmtId="266" fontId="8" fillId="0" borderId="0" applyFont="0" applyFill="0" applyBorder="0" applyProtection="0">
      <alignment vertical="top"/>
    </xf>
    <xf numFmtId="266" fontId="8" fillId="0" borderId="0" applyFont="0" applyFill="0" applyBorder="0" applyProtection="0">
      <alignment vertical="top"/>
    </xf>
    <xf numFmtId="267" fontId="8" fillId="0" borderId="0" applyFont="0" applyFill="0" applyBorder="0" applyAlignment="0" applyProtection="0"/>
    <xf numFmtId="266" fontId="8" fillId="0" borderId="0" applyFont="0" applyFill="0" applyBorder="0" applyProtection="0">
      <alignment vertical="top"/>
    </xf>
    <xf numFmtId="267" fontId="8" fillId="0" borderId="0" applyFont="0" applyFill="0" applyBorder="0" applyAlignment="0" applyProtection="0"/>
    <xf numFmtId="268" fontId="8" fillId="0" borderId="0" applyFont="0" applyFill="0" applyBorder="0" applyProtection="0">
      <alignment vertical="top"/>
    </xf>
    <xf numFmtId="268" fontId="8" fillId="0" borderId="0" applyFont="0" applyFill="0" applyBorder="0" applyProtection="0">
      <alignment vertical="top"/>
    </xf>
    <xf numFmtId="268" fontId="8" fillId="0" borderId="0" applyFont="0" applyFill="0" applyBorder="0" applyProtection="0">
      <alignment vertical="top"/>
    </xf>
    <xf numFmtId="268" fontId="8" fillId="0" borderId="0" applyFont="0" applyFill="0" applyBorder="0" applyProtection="0">
      <alignment vertical="top"/>
    </xf>
    <xf numFmtId="212" fontId="56" fillId="0" borderId="0">
      <alignment horizontal="right"/>
    </xf>
    <xf numFmtId="207" fontId="56" fillId="0" borderId="0">
      <alignment horizontal="right"/>
      <protection locked="0"/>
    </xf>
    <xf numFmtId="207" fontId="56" fillId="0" borderId="0"/>
    <xf numFmtId="269" fontId="56" fillId="0" borderId="0">
      <alignment horizontal="right"/>
      <protection locked="0"/>
    </xf>
    <xf numFmtId="207" fontId="57" fillId="0" borderId="0"/>
    <xf numFmtId="270" fontId="52" fillId="83" borderId="0" applyAlignment="0" applyProtection="0">
      <alignment horizontal="right"/>
    </xf>
    <xf numFmtId="271" fontId="8" fillId="0" borderId="0" applyFont="0" applyFill="0" applyBorder="0" applyAlignment="0" applyProtection="0"/>
    <xf numFmtId="166" fontId="8" fillId="0" borderId="0" applyFont="0" applyFill="0" applyBorder="0" applyAlignment="0" applyProtection="0"/>
    <xf numFmtId="204" fontId="64" fillId="46" borderId="0" applyNumberFormat="0" applyFont="0" applyBorder="0" applyAlignment="0" applyProtection="0"/>
    <xf numFmtId="254" fontId="40" fillId="0" borderId="0" applyFill="0" applyBorder="0" applyProtection="0">
      <alignment horizontal="center"/>
    </xf>
    <xf numFmtId="253" fontId="40" fillId="0" borderId="0">
      <alignment horizontal="center"/>
    </xf>
    <xf numFmtId="254" fontId="40" fillId="0" borderId="0" applyFill="0" applyBorder="0" applyProtection="0">
      <alignment horizontal="center"/>
    </xf>
    <xf numFmtId="251" fontId="98" fillId="0" borderId="0">
      <alignment horizontal="center"/>
    </xf>
    <xf numFmtId="180" fontId="93" fillId="0" borderId="20" applyNumberFormat="0" applyFont="0" applyFill="0" applyAlignment="0" applyProtection="0"/>
    <xf numFmtId="210" fontId="99" fillId="0" borderId="21"/>
    <xf numFmtId="211" fontId="56" fillId="0" borderId="0"/>
    <xf numFmtId="38" fontId="48" fillId="0" borderId="0" applyFont="0" applyFill="0" applyBorder="0" applyAlignment="0" applyProtection="0"/>
    <xf numFmtId="180" fontId="100" fillId="0" borderId="0" applyFont="0" applyFill="0" applyBorder="0" applyAlignment="0" applyProtection="0"/>
    <xf numFmtId="180" fontId="101" fillId="0" borderId="0" applyNumberFormat="0" applyAlignment="0">
      <alignment horizontal="left"/>
    </xf>
    <xf numFmtId="272" fontId="43" fillId="0" borderId="0"/>
    <xf numFmtId="273" fontId="43" fillId="0" borderId="0"/>
    <xf numFmtId="274" fontId="43" fillId="0" borderId="0"/>
    <xf numFmtId="275" fontId="43" fillId="0" borderId="0"/>
    <xf numFmtId="276" fontId="43" fillId="0" borderId="0"/>
    <xf numFmtId="277" fontId="43" fillId="0" borderId="0"/>
    <xf numFmtId="189" fontId="4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278" fontId="8" fillId="0" borderId="0" applyFont="0" applyFill="0" applyBorder="0" applyAlignment="0" applyProtection="0"/>
    <xf numFmtId="279" fontId="8" fillId="0" borderId="0" applyFont="0" applyFill="0" applyBorder="0" applyAlignment="0" applyProtection="0"/>
    <xf numFmtId="280" fontId="8" fillId="0" borderId="0" applyFont="0" applyFill="0" applyBorder="0" applyAlignment="0" applyProtection="0"/>
    <xf numFmtId="180" fontId="8"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89" fontId="104" fillId="0" borderId="0" applyNumberFormat="0" applyFill="0" applyBorder="0" applyAlignment="0" applyProtection="0"/>
    <xf numFmtId="0" fontId="40" fillId="79" borderId="0" applyNumberFormat="0" applyFont="0" applyBorder="0" applyAlignment="0" applyProtection="0"/>
    <xf numFmtId="0" fontId="40" fillId="79" borderId="0" applyNumberFormat="0" applyFont="0" applyBorder="0" applyAlignment="0" applyProtection="0"/>
    <xf numFmtId="0" fontId="105" fillId="0" borderId="0" applyNumberFormat="0" applyFill="0" applyBorder="0" applyAlignment="0" applyProtection="0"/>
    <xf numFmtId="281" fontId="106" fillId="0" borderId="0" applyFill="0" applyBorder="0"/>
    <xf numFmtId="15" fontId="17" fillId="0" borderId="0" applyFill="0" applyBorder="0" applyProtection="0">
      <alignment horizontal="center"/>
    </xf>
    <xf numFmtId="0" fontId="40" fillId="20" borderId="0" applyNumberFormat="0" applyFont="0" applyBorder="0" applyAlignment="0" applyProtection="0"/>
    <xf numFmtId="0" fontId="40" fillId="20" borderId="0" applyNumberFormat="0" applyFont="0" applyBorder="0" applyAlignment="0" applyProtection="0"/>
    <xf numFmtId="282" fontId="107" fillId="0" borderId="0" applyFill="0" applyBorder="0" applyProtection="0"/>
    <xf numFmtId="283" fontId="18" fillId="61" borderId="2" applyAlignment="0" applyProtection="0"/>
    <xf numFmtId="283" fontId="18" fillId="61" borderId="2" applyAlignment="0" applyProtection="0"/>
    <xf numFmtId="284" fontId="108" fillId="0" borderId="0" applyNumberFormat="0" applyFill="0" applyBorder="0" applyAlignment="0" applyProtection="0"/>
    <xf numFmtId="284" fontId="109" fillId="0" borderId="0" applyNumberFormat="0" applyFill="0" applyBorder="0" applyAlignment="0" applyProtection="0"/>
    <xf numFmtId="15" fontId="105" fillId="45" borderId="18">
      <alignment horizontal="center"/>
      <protection locked="0"/>
    </xf>
    <xf numFmtId="285" fontId="105" fillId="45" borderId="18" applyAlignment="0">
      <protection locked="0"/>
    </xf>
    <xf numFmtId="286" fontId="105" fillId="45" borderId="18" applyAlignment="0">
      <protection locked="0"/>
    </xf>
    <xf numFmtId="286" fontId="17" fillId="0" borderId="0" applyFill="0" applyBorder="0" applyAlignment="0" applyProtection="0"/>
    <xf numFmtId="287" fontId="17" fillId="0" borderId="0" applyFill="0" applyBorder="0" applyAlignment="0" applyProtection="0"/>
    <xf numFmtId="287" fontId="17" fillId="0" borderId="0" applyFill="0" applyBorder="0" applyAlignment="0" applyProtection="0"/>
    <xf numFmtId="288" fontId="17" fillId="0" borderId="0" applyFill="0" applyBorder="0" applyAlignment="0" applyProtection="0"/>
    <xf numFmtId="0" fontId="40" fillId="0" borderId="22" applyNumberFormat="0" applyFont="0" applyAlignment="0" applyProtection="0"/>
    <xf numFmtId="0" fontId="40" fillId="0" borderId="22" applyNumberFormat="0" applyFont="0" applyAlignment="0" applyProtection="0"/>
    <xf numFmtId="0" fontId="40" fillId="0" borderId="22" applyNumberFormat="0" applyFont="0" applyAlignment="0" applyProtection="0"/>
    <xf numFmtId="0" fontId="40" fillId="0" borderId="22" applyNumberFormat="0" applyFont="0" applyAlignment="0" applyProtection="0"/>
    <xf numFmtId="0" fontId="40" fillId="0" borderId="23" applyNumberFormat="0" applyFont="0" applyAlignment="0" applyProtection="0"/>
    <xf numFmtId="0" fontId="40" fillId="0" borderId="23" applyNumberFormat="0" applyFont="0" applyAlignment="0" applyProtection="0"/>
    <xf numFmtId="0" fontId="40" fillId="0" borderId="23" applyNumberFormat="0" applyFont="0" applyAlignment="0" applyProtection="0"/>
    <xf numFmtId="0" fontId="40" fillId="0" borderId="23" applyNumberFormat="0" applyFont="0" applyAlignment="0" applyProtection="0"/>
    <xf numFmtId="0" fontId="40" fillId="28" borderId="0" applyNumberFormat="0" applyFont="0" applyBorder="0" applyAlignment="0" applyProtection="0"/>
    <xf numFmtId="0" fontId="40" fillId="28" borderId="0" applyNumberFormat="0" applyFont="0" applyBorder="0" applyAlignment="0" applyProtection="0"/>
    <xf numFmtId="191" fontId="8" fillId="0" borderId="0" applyFont="0" applyFill="0" applyBorder="0" applyAlignment="0" applyProtection="0"/>
    <xf numFmtId="164" fontId="8" fillId="0" borderId="0" applyFont="0" applyFill="0" applyBorder="0" applyAlignment="0" applyProtection="0"/>
    <xf numFmtId="289" fontId="8" fillId="0" borderId="0" applyFont="0" applyFill="0" applyBorder="0" applyAlignment="0" applyProtection="0"/>
    <xf numFmtId="290" fontId="8" fillId="0" borderId="0" applyFont="0" applyFill="0" applyBorder="0" applyProtection="0">
      <alignment vertical="top"/>
    </xf>
    <xf numFmtId="290" fontId="8" fillId="0" borderId="0" applyFont="0" applyFill="0" applyBorder="0" applyProtection="0">
      <alignment vertical="top"/>
    </xf>
    <xf numFmtId="290" fontId="8" fillId="0" borderId="0" applyFont="0" applyFill="0" applyBorder="0" applyProtection="0">
      <alignment vertical="top"/>
    </xf>
    <xf numFmtId="290" fontId="8" fillId="0" borderId="0" applyFont="0" applyFill="0" applyBorder="0" applyProtection="0">
      <alignment vertical="top"/>
    </xf>
    <xf numFmtId="1" fontId="110" fillId="84" borderId="24" applyNumberFormat="0" applyBorder="0" applyAlignment="0">
      <alignment horizontal="centerContinuous" vertical="center"/>
      <protection locked="0"/>
    </xf>
    <xf numFmtId="180" fontId="94" fillId="0" borderId="0">
      <protection locked="0"/>
    </xf>
    <xf numFmtId="251" fontId="111" fillId="0" borderId="0"/>
    <xf numFmtId="251" fontId="111" fillId="0" borderId="0"/>
    <xf numFmtId="180" fontId="112" fillId="0" borderId="0"/>
    <xf numFmtId="180" fontId="113" fillId="0" borderId="0" applyFill="0" applyBorder="0" applyProtection="0">
      <alignment horizontal="left"/>
    </xf>
    <xf numFmtId="4" fontId="114" fillId="0" borderId="0">
      <protection locked="0"/>
    </xf>
    <xf numFmtId="0" fontId="97" fillId="19" borderId="0" applyAlignment="0" applyProtection="0">
      <alignment horizontal="right" vertical="center"/>
    </xf>
    <xf numFmtId="252" fontId="115" fillId="0" borderId="0"/>
    <xf numFmtId="273" fontId="43" fillId="0" borderId="25"/>
    <xf numFmtId="291" fontId="43" fillId="46" borderId="11">
      <alignment horizontal="right"/>
    </xf>
    <xf numFmtId="292" fontId="8" fillId="0" borderId="0" applyFont="0" applyFill="0" applyBorder="0" applyAlignment="0" applyProtection="0"/>
    <xf numFmtId="293" fontId="116" fillId="0" borderId="0" applyFont="0" applyFill="0" applyBorder="0" applyAlignment="0" applyProtection="0"/>
    <xf numFmtId="294" fontId="8" fillId="0" borderId="0" applyFont="0" applyFill="0" applyBorder="0" applyAlignment="0" applyProtection="0"/>
    <xf numFmtId="295" fontId="11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189" fontId="118" fillId="57" borderId="0" applyNumberFormat="0" applyBorder="0" applyAlignment="0" applyProtection="0"/>
    <xf numFmtId="2" fontId="119" fillId="50" borderId="11" applyProtection="0">
      <alignment horizontal="left"/>
      <protection locked="0"/>
    </xf>
    <xf numFmtId="38" fontId="52" fillId="46" borderId="0" applyNumberFormat="0" applyBorder="0" applyAlignment="0" applyProtection="0"/>
    <xf numFmtId="0" fontId="8" fillId="61" borderId="0" applyNumberFormat="0" applyFont="0" applyBorder="0" applyAlignment="0" applyProtection="0"/>
    <xf numFmtId="296" fontId="92" fillId="36" borderId="26" applyNumberFormat="0" applyFont="0" applyAlignment="0"/>
    <xf numFmtId="180" fontId="93" fillId="0" borderId="0" applyFont="0" applyFill="0" applyBorder="0" applyAlignment="0" applyProtection="0">
      <alignment horizontal="right"/>
    </xf>
    <xf numFmtId="180" fontId="120" fillId="0" borderId="0" applyProtection="0">
      <alignment horizontal="right"/>
    </xf>
    <xf numFmtId="180" fontId="77" fillId="0" borderId="27" applyNumberFormat="0" applyAlignment="0" applyProtection="0">
      <alignment horizontal="left" vertical="center"/>
    </xf>
    <xf numFmtId="180" fontId="77" fillId="0" borderId="28">
      <alignment horizontal="left" vertical="center"/>
    </xf>
    <xf numFmtId="2" fontId="73" fillId="76" borderId="0" applyAlignment="0">
      <alignment horizontal="right"/>
      <protection locked="0"/>
    </xf>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189" fontId="123" fillId="0" borderId="30"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189" fontId="126" fillId="0" borderId="31"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189" fontId="129" fillId="0" borderId="32"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89" fontId="129" fillId="0" borderId="0" applyNumberFormat="0" applyFill="0" applyBorder="0" applyAlignment="0" applyProtection="0"/>
    <xf numFmtId="180" fontId="40" fillId="0" borderId="0">
      <protection locked="0"/>
    </xf>
    <xf numFmtId="180" fontId="40" fillId="0" borderId="0">
      <protection locked="0"/>
    </xf>
    <xf numFmtId="297" fontId="130" fillId="0" borderId="0">
      <alignment horizontal="right"/>
    </xf>
    <xf numFmtId="298" fontId="60" fillId="0" borderId="0" applyAlignment="0">
      <alignment horizontal="right"/>
      <protection hidden="1"/>
    </xf>
    <xf numFmtId="180" fontId="105" fillId="0" borderId="33" applyNumberFormat="0" applyFill="0" applyAlignment="0" applyProtection="0"/>
    <xf numFmtId="204" fontId="131" fillId="0" borderId="0" applyNumberFormat="0" applyBorder="0" applyAlignment="0" applyProtection="0">
      <alignment horizontal="right" wrapText="1"/>
    </xf>
    <xf numFmtId="0" fontId="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89" fontId="139" fillId="0" borderId="0" applyNumberFormat="0" applyFill="0" applyBorder="0" applyAlignment="0" applyProtection="0">
      <alignment vertical="top"/>
      <protection locked="0"/>
    </xf>
    <xf numFmtId="180" fontId="140" fillId="0" borderId="0">
      <alignment wrapText="1"/>
    </xf>
    <xf numFmtId="10" fontId="52" fillId="36" borderId="26" applyNumberFormat="0" applyBorder="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189" fontId="143" fillId="60" borderId="34" applyNumberFormat="0" applyAlignment="0" applyProtection="0"/>
    <xf numFmtId="189" fontId="143" fillId="60" borderId="34" applyNumberFormat="0" applyAlignment="0" applyProtection="0"/>
    <xf numFmtId="0" fontId="52" fillId="0" borderId="0" applyNumberFormat="0" applyFill="0" applyBorder="0" applyAlignment="0">
      <protection locked="0"/>
    </xf>
    <xf numFmtId="0" fontId="144" fillId="34" borderId="0"/>
    <xf numFmtId="240" fontId="63" fillId="86" borderId="0">
      <protection locked="0"/>
    </xf>
    <xf numFmtId="299" fontId="40" fillId="0" borderId="0"/>
    <xf numFmtId="0" fontId="145" fillId="0" borderId="0"/>
    <xf numFmtId="38" fontId="146" fillId="0" borderId="0"/>
    <xf numFmtId="38" fontId="147" fillId="0" borderId="0"/>
    <xf numFmtId="38" fontId="148" fillId="0" borderId="0"/>
    <xf numFmtId="38" fontId="149" fillId="0" borderId="0"/>
    <xf numFmtId="0" fontId="66" fillId="0" borderId="0"/>
    <xf numFmtId="0" fontId="66" fillId="0" borderId="0"/>
    <xf numFmtId="0" fontId="66" fillId="0" borderId="0"/>
    <xf numFmtId="0" fontId="42" fillId="0" borderId="0"/>
    <xf numFmtId="0" fontId="150" fillId="0" borderId="0"/>
    <xf numFmtId="0" fontId="151" fillId="0" borderId="0">
      <alignment horizontal="center"/>
    </xf>
    <xf numFmtId="300" fontId="152" fillId="0" borderId="0" applyFont="0" applyFill="0" applyBorder="0" applyAlignment="0" applyProtection="0"/>
    <xf numFmtId="180" fontId="8" fillId="0" borderId="0" applyNumberFormat="0" applyFont="0" applyFill="0" applyBorder="0" applyProtection="0">
      <alignment horizontal="left" vertical="center"/>
    </xf>
    <xf numFmtId="168" fontId="35" fillId="2" borderId="0"/>
    <xf numFmtId="168" fontId="36" fillId="53" borderId="0"/>
    <xf numFmtId="180" fontId="52" fillId="46" borderId="0"/>
    <xf numFmtId="38" fontId="153" fillId="0" borderId="0" applyNumberFormat="0" applyFill="0" applyBorder="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189" fontId="156" fillId="0" borderId="36" applyNumberFormat="0" applyFill="0" applyAlignment="0" applyProtection="0"/>
    <xf numFmtId="0" fontId="97" fillId="87" borderId="0" applyAlignment="0" applyProtection="0">
      <alignment horizontal="right" vertical="center"/>
    </xf>
    <xf numFmtId="197" fontId="53" fillId="0" borderId="0" applyFont="0" applyFill="0" applyBorder="0" applyAlignment="0" applyProtection="0">
      <alignment horizontal="right"/>
    </xf>
    <xf numFmtId="301"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302"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40" fontId="157" fillId="0" borderId="0">
      <alignment horizontal="right"/>
    </xf>
    <xf numFmtId="37" fontId="158" fillId="0" borderId="0"/>
    <xf numFmtId="180" fontId="159" fillId="0" borderId="0">
      <alignment vertical="center"/>
    </xf>
    <xf numFmtId="180" fontId="8" fillId="0" borderId="0" applyNumberFormat="0" applyFill="0" applyBorder="0" applyAlignment="0" applyProtection="0"/>
    <xf numFmtId="164"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303" fontId="8" fillId="0" borderId="0" applyFont="0" applyFill="0" applyBorder="0" applyAlignment="0" applyProtection="0"/>
    <xf numFmtId="304" fontId="43" fillId="0" borderId="0">
      <alignment horizontal="right"/>
    </xf>
    <xf numFmtId="180" fontId="160" fillId="0" borderId="17"/>
    <xf numFmtId="305" fontId="48" fillId="0" borderId="0" applyFont="0" applyFill="0" applyBorder="0" applyAlignment="0" applyProtection="0"/>
    <xf numFmtId="306" fontId="4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307" fontId="52" fillId="36" borderId="0">
      <alignment horizontal="center"/>
    </xf>
    <xf numFmtId="308" fontId="40" fillId="0" borderId="0" applyFill="0" applyBorder="0" applyProtection="0">
      <alignment horizontal="center"/>
    </xf>
    <xf numFmtId="309" fontId="40" fillId="0" borderId="0" applyFont="0" applyFill="0" applyBorder="0" applyAlignment="0" applyProtection="0">
      <alignment horizontal="centerContinuous"/>
      <protection locked="0"/>
    </xf>
    <xf numFmtId="49" fontId="161" fillId="81" borderId="0" applyAlignment="0" applyProtection="0">
      <alignment horizontal="centerContinuous" vertical="center"/>
    </xf>
    <xf numFmtId="310" fontId="52" fillId="0" borderId="0" applyFont="0" applyFill="0" applyBorder="0" applyAlignment="0" applyProtection="0">
      <alignment horizontal="right"/>
    </xf>
    <xf numFmtId="0" fontId="80" fillId="0" borderId="0">
      <alignment horizontal="right"/>
    </xf>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189" fontId="163" fillId="18" borderId="0" applyNumberFormat="0" applyBorder="0" applyAlignment="0" applyProtection="0"/>
    <xf numFmtId="37" fontId="164" fillId="0" borderId="0"/>
    <xf numFmtId="297" fontId="165" fillId="0" borderId="0"/>
    <xf numFmtId="311" fontId="44" fillId="0" borderId="0"/>
    <xf numFmtId="311" fontId="44" fillId="0" borderId="9"/>
    <xf numFmtId="311" fontId="44" fillId="0" borderId="37"/>
    <xf numFmtId="311" fontId="44" fillId="0" borderId="0"/>
    <xf numFmtId="312" fontId="56" fillId="0" borderId="0"/>
    <xf numFmtId="313" fontId="56" fillId="0" borderId="0"/>
    <xf numFmtId="314" fontId="56" fillId="0" borderId="0"/>
    <xf numFmtId="315" fontId="52" fillId="0" borderId="0"/>
    <xf numFmtId="316" fontId="52" fillId="0" borderId="0"/>
    <xf numFmtId="38" fontId="8" fillId="0" borderId="0" applyFont="0" applyFill="0" applyBorder="0" applyAlignment="0" applyProtection="0"/>
    <xf numFmtId="0" fontId="6" fillId="0" borderId="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6"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1" fillId="0" borderId="0"/>
    <xf numFmtId="0" fontId="12"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8" fillId="0" borderId="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8" fillId="0" borderId="0"/>
    <xf numFmtId="18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18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23"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8" fillId="0" borderId="0"/>
    <xf numFmtId="0" fontId="11" fillId="0" borderId="0" applyFont="0" applyFill="0" applyBorder="0" applyAlignment="0" applyProtection="0"/>
    <xf numFmtId="0" fontId="11" fillId="0" borderId="0" applyFont="0" applyFill="0" applyBorder="0" applyAlignment="0" applyProtection="0"/>
    <xf numFmtId="0" fontId="8"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8" fillId="0" borderId="0"/>
    <xf numFmtId="0" fontId="11" fillId="0" borderId="0" applyFont="0" applyFill="0" applyBorder="0" applyAlignment="0" applyProtection="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8" fillId="0" borderId="0"/>
    <xf numFmtId="0" fontId="11" fillId="0" borderId="0" applyFont="0" applyFill="0" applyBorder="0" applyAlignment="0" applyProtection="0"/>
    <xf numFmtId="0" fontId="8" fillId="0" borderId="0"/>
    <xf numFmtId="0" fontId="8" fillId="0" borderId="0"/>
    <xf numFmtId="0" fontId="11" fillId="0" borderId="0" applyFont="0" applyFill="0" applyBorder="0" applyAlignment="0" applyProtection="0"/>
    <xf numFmtId="0" fontId="8" fillId="0" borderId="0"/>
    <xf numFmtId="0" fontId="11" fillId="0" borderId="0"/>
    <xf numFmtId="0" fontId="8" fillId="0" borderId="0"/>
    <xf numFmtId="0" fontId="11" fillId="0" borderId="0" applyFont="0" applyFill="0" applyBorder="0" applyAlignment="0" applyProtection="0"/>
    <xf numFmtId="0" fontId="8" fillId="0" borderId="0"/>
    <xf numFmtId="0" fontId="8" fillId="0" borderId="0"/>
    <xf numFmtId="0" fontId="11" fillId="0" borderId="0" applyFont="0" applyFill="0" applyBorder="0" applyAlignment="0" applyProtection="0"/>
    <xf numFmtId="0" fontId="8" fillId="0" borderId="0"/>
    <xf numFmtId="0" fontId="11" fillId="0" borderId="0"/>
    <xf numFmtId="0" fontId="11" fillId="0" borderId="0"/>
    <xf numFmtId="0" fontId="11"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8"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8" fillId="0" borderId="0"/>
    <xf numFmtId="0" fontId="11"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8" fillId="0" borderId="0" applyNumberFormat="0" applyFont="0" applyFill="0" applyBorder="0" applyAlignment="0" applyProtection="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8" fillId="0" borderId="0" applyNumberFormat="0" applyFont="0" applyFill="0" applyBorder="0" applyAlignment="0" applyProtection="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8" fillId="0" borderId="0" applyNumberFormat="0" applyFont="0" applyFill="0" applyBorder="0" applyAlignment="0" applyProtection="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8" fillId="0" borderId="0" applyNumberFormat="0" applyFont="0" applyFill="0" applyBorder="0" applyAlignment="0" applyProtection="0"/>
    <xf numFmtId="0" fontId="23" fillId="0" borderId="0"/>
    <xf numFmtId="0" fontId="23" fillId="0" borderId="0"/>
    <xf numFmtId="0" fontId="23" fillId="0" borderId="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9" fontId="9"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6" fillId="0" borderId="0"/>
    <xf numFmtId="0" fontId="9" fillId="0" borderId="0"/>
    <xf numFmtId="189" fontId="9"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5" fillId="0" borderId="0"/>
    <xf numFmtId="0" fontId="8" fillId="0" borderId="0"/>
    <xf numFmtId="18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189"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4" fontId="6" fillId="0" borderId="0"/>
    <xf numFmtId="174" fontId="23" fillId="0" borderId="0"/>
    <xf numFmtId="174" fontId="23" fillId="0" borderId="0"/>
    <xf numFmtId="174" fontId="23" fillId="0" borderId="0"/>
    <xf numFmtId="174" fontId="23" fillId="0" borderId="0"/>
    <xf numFmtId="174" fontId="23" fillId="0" borderId="0"/>
    <xf numFmtId="174" fontId="6" fillId="0" borderId="0"/>
    <xf numFmtId="174" fontId="23" fillId="0" borderId="0"/>
    <xf numFmtId="174" fontId="23" fillId="0" borderId="0"/>
    <xf numFmtId="174" fontId="23" fillId="0" borderId="0"/>
    <xf numFmtId="174" fontId="23" fillId="0" borderId="0"/>
    <xf numFmtId="174" fontId="6" fillId="0" borderId="0"/>
    <xf numFmtId="174" fontId="6" fillId="0" borderId="0"/>
    <xf numFmtId="174" fontId="6" fillId="0" borderId="0"/>
    <xf numFmtId="174" fontId="6" fillId="0" borderId="0"/>
    <xf numFmtId="174" fontId="23" fillId="0" borderId="0"/>
    <xf numFmtId="174" fontId="23" fillId="0" borderId="0"/>
    <xf numFmtId="174" fontId="23" fillId="0" borderId="0"/>
    <xf numFmtId="174" fontId="23" fillId="0" borderId="0"/>
    <xf numFmtId="174" fontId="6" fillId="0" borderId="0"/>
    <xf numFmtId="174" fontId="6" fillId="0" borderId="0"/>
    <xf numFmtId="174" fontId="6" fillId="0" borderId="0"/>
    <xf numFmtId="174" fontId="6" fillId="0" borderId="0"/>
    <xf numFmtId="174" fontId="23" fillId="0" borderId="0"/>
    <xf numFmtId="174" fontId="23" fillId="0" borderId="0"/>
    <xf numFmtId="174" fontId="23"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6" fillId="0" borderId="0"/>
    <xf numFmtId="0" fontId="27" fillId="0" borderId="0" applyFill="0" applyBorder="0" applyAlignment="0" applyProtection="0"/>
    <xf numFmtId="0" fontId="27"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23" fillId="0" borderId="0"/>
    <xf numFmtId="0" fontId="8" fillId="0" borderId="0"/>
    <xf numFmtId="0" fontId="8" fillId="0" borderId="0"/>
    <xf numFmtId="0" fontId="6" fillId="0" borderId="0"/>
    <xf numFmtId="0" fontId="8"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7" fillId="0" borderId="0"/>
    <xf numFmtId="0" fontId="8" fillId="0" borderId="0" applyNumberFormat="0" applyFont="0" applyFill="0" applyBorder="0" applyAlignment="0" applyProtection="0"/>
    <xf numFmtId="0" fontId="17" fillId="0" borderId="0"/>
    <xf numFmtId="0" fontId="17" fillId="0" borderId="0"/>
    <xf numFmtId="0" fontId="17" fillId="0" borderId="0"/>
    <xf numFmtId="0" fontId="5" fillId="0" borderId="0"/>
    <xf numFmtId="0" fontId="27" fillId="0" borderId="0"/>
    <xf numFmtId="0" fontId="27" fillId="0" borderId="0"/>
    <xf numFmtId="0" fontId="8" fillId="0" borderId="0" applyNumberFormat="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8"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24" fillId="0" borderId="0">
      <alignment vertical="top"/>
    </xf>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317" fontId="54" fillId="0" borderId="37"/>
    <xf numFmtId="0" fontId="105" fillId="0" borderId="0" applyFill="0" applyBorder="0">
      <protection locked="0"/>
    </xf>
    <xf numFmtId="180" fontId="8" fillId="0" borderId="0"/>
    <xf numFmtId="180" fontId="167" fillId="0" borderId="0"/>
    <xf numFmtId="180" fontId="168" fillId="0" borderId="0"/>
    <xf numFmtId="180" fontId="169" fillId="0" borderId="0"/>
    <xf numFmtId="180" fontId="170" fillId="0" borderId="0"/>
    <xf numFmtId="180" fontId="49" fillId="0" borderId="0"/>
    <xf numFmtId="38" fontId="171" fillId="0" borderId="0"/>
    <xf numFmtId="0" fontId="8" fillId="13"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34"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34"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34"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189" fontId="8" fillId="34" borderId="38" applyNumberFormat="0" applyFont="0" applyAlignment="0" applyProtection="0"/>
    <xf numFmtId="189" fontId="8" fillId="34" borderId="38" applyNumberFormat="0" applyFont="0" applyAlignment="0" applyProtection="0"/>
    <xf numFmtId="0" fontId="172" fillId="83" borderId="0" applyAlignment="0" applyProtection="0">
      <alignment horizontal="left" vertical="top" wrapText="1"/>
    </xf>
    <xf numFmtId="284" fontId="8" fillId="45" borderId="39" applyFont="0" applyFill="0" applyBorder="0" applyAlignment="0" applyProtection="0">
      <protection locked="0"/>
    </xf>
    <xf numFmtId="37" fontId="8" fillId="0" borderId="0"/>
    <xf numFmtId="318" fontId="39" fillId="50" borderId="40" applyNumberFormat="0">
      <alignment vertical="center"/>
    </xf>
    <xf numFmtId="318" fontId="39" fillId="88" borderId="40" applyNumberFormat="0">
      <alignment vertical="center"/>
    </xf>
    <xf numFmtId="318" fontId="39" fillId="40" borderId="40" applyNumberFormat="0">
      <alignment vertical="center"/>
    </xf>
    <xf numFmtId="318" fontId="39" fillId="38" borderId="40" applyNumberFormat="0">
      <alignment vertical="center"/>
    </xf>
    <xf numFmtId="318" fontId="39" fillId="89" borderId="40" applyNumberFormat="0">
      <alignment vertical="center"/>
    </xf>
    <xf numFmtId="318" fontId="39" fillId="46" borderId="40" applyNumberFormat="0">
      <alignment vertical="center"/>
    </xf>
    <xf numFmtId="318" fontId="39" fillId="90" borderId="40" applyNumberFormat="0">
      <alignment vertical="center"/>
    </xf>
    <xf numFmtId="318" fontId="39" fillId="80" borderId="40" applyNumberFormat="0">
      <alignment vertical="center"/>
    </xf>
    <xf numFmtId="318" fontId="39" fillId="91" borderId="40" applyNumberFormat="0">
      <alignment vertical="center"/>
    </xf>
    <xf numFmtId="318" fontId="39" fillId="92" borderId="40" applyNumberFormat="0">
      <alignment vertical="center"/>
    </xf>
    <xf numFmtId="318" fontId="173" fillId="45" borderId="40">
      <protection locked="0"/>
    </xf>
    <xf numFmtId="318" fontId="173" fillId="37" borderId="40">
      <protection locked="0"/>
    </xf>
    <xf numFmtId="318" fontId="174" fillId="37" borderId="41" applyNumberFormat="0" applyFont="0" applyFill="0" applyAlignment="0" applyProtection="0">
      <protection locked="0"/>
    </xf>
    <xf numFmtId="318" fontId="80" fillId="0" borderId="0" applyNumberFormat="0" applyFill="0">
      <alignment horizontal="left" vertical="top"/>
    </xf>
    <xf numFmtId="0" fontId="175" fillId="93" borderId="0" applyNumberFormat="0">
      <alignment horizontal="left" vertical="center" indent="1"/>
    </xf>
    <xf numFmtId="0" fontId="176" fillId="94" borderId="0" applyNumberFormat="0">
      <alignment vertical="center"/>
    </xf>
    <xf numFmtId="0" fontId="77" fillId="46" borderId="0">
      <alignment vertical="center"/>
    </xf>
    <xf numFmtId="0" fontId="177" fillId="0" borderId="42">
      <alignment vertical="center"/>
    </xf>
    <xf numFmtId="0" fontId="38" fillId="95" borderId="26" applyNumberFormat="0" applyFont="0" applyAlignment="0">
      <alignment vertical="center"/>
    </xf>
    <xf numFmtId="0" fontId="38" fillId="45" borderId="26" applyNumberFormat="0" applyFont="0" applyAlignment="0">
      <alignment vertical="center"/>
    </xf>
    <xf numFmtId="0" fontId="38" fillId="37" borderId="26" applyNumberFormat="0" applyFont="0" applyAlignment="0">
      <alignment vertical="center"/>
    </xf>
    <xf numFmtId="0" fontId="38" fillId="96" borderId="26" applyNumberFormat="0" applyFont="0" applyAlignment="0">
      <alignment vertical="center"/>
    </xf>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97" borderId="0">
      <alignment horizontal="right"/>
    </xf>
    <xf numFmtId="0" fontId="178" fillId="0" borderId="0">
      <alignment horizontal="left"/>
    </xf>
    <xf numFmtId="3" fontId="179" fillId="0" borderId="0" applyFill="0" applyBorder="0" applyAlignment="0" applyProtection="0"/>
    <xf numFmtId="180" fontId="180" fillId="12" borderId="43" applyNumberFormat="0" applyBorder="0" applyAlignment="0">
      <alignment horizontal="center"/>
      <protection hidden="1"/>
    </xf>
    <xf numFmtId="180" fontId="181" fillId="0" borderId="43" applyNumberFormat="0" applyBorder="0" applyAlignment="0">
      <alignment horizontal="center"/>
      <protection locked="0"/>
    </xf>
    <xf numFmtId="2" fontId="182" fillId="50" borderId="11">
      <alignment horizontal="left"/>
    </xf>
    <xf numFmtId="0" fontId="183" fillId="78" borderId="4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8" fillId="0" borderId="0" applyNumberFormat="0" applyFont="0" applyFill="0" applyBorder="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8" fillId="0" borderId="0" applyNumberFormat="0" applyFont="0" applyFill="0" applyBorder="0" applyAlignment="0" applyProtection="0"/>
    <xf numFmtId="0" fontId="183" fillId="78"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8" fillId="0" borderId="0" applyNumberFormat="0" applyFont="0" applyFill="0" applyBorder="0" applyAlignment="0" applyProtection="0"/>
    <xf numFmtId="0" fontId="183" fillId="61" borderId="44" applyNumberFormat="0" applyAlignment="0" applyProtection="0"/>
    <xf numFmtId="0" fontId="8" fillId="0" borderId="0" applyNumberFormat="0" applyFont="0" applyFill="0" applyBorder="0" applyAlignment="0" applyProtection="0"/>
    <xf numFmtId="0" fontId="183" fillId="78" borderId="4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189" fontId="184" fillId="61" borderId="44" applyNumberFormat="0" applyAlignment="0" applyProtection="0"/>
    <xf numFmtId="189" fontId="184" fillId="61" borderId="44" applyNumberFormat="0" applyAlignment="0" applyProtection="0"/>
    <xf numFmtId="40" fontId="17" fillId="33" borderId="0">
      <alignment horizontal="right"/>
    </xf>
    <xf numFmtId="180" fontId="185" fillId="98" borderId="0">
      <alignment horizontal="center"/>
    </xf>
    <xf numFmtId="180" fontId="186" fillId="99" borderId="0"/>
    <xf numFmtId="180" fontId="187" fillId="33" borderId="0" applyBorder="0">
      <alignment horizontal="centerContinuous"/>
    </xf>
    <xf numFmtId="180" fontId="188" fillId="99" borderId="0" applyBorder="0">
      <alignment horizontal="centerContinuous"/>
    </xf>
    <xf numFmtId="319" fontId="8" fillId="0" borderId="0"/>
    <xf numFmtId="319" fontId="8" fillId="0" borderId="0"/>
    <xf numFmtId="319" fontId="8" fillId="0" borderId="0"/>
    <xf numFmtId="319" fontId="8" fillId="0" borderId="0"/>
    <xf numFmtId="171" fontId="8" fillId="0" borderId="0"/>
    <xf numFmtId="171" fontId="8" fillId="0" borderId="0"/>
    <xf numFmtId="171" fontId="8" fillId="0" borderId="0"/>
    <xf numFmtId="171" fontId="8" fillId="0" borderId="0"/>
    <xf numFmtId="171" fontId="8" fillId="0" borderId="0"/>
    <xf numFmtId="319" fontId="8" fillId="0" borderId="0"/>
    <xf numFmtId="180" fontId="40" fillId="100" borderId="0" applyNumberFormat="0" applyFont="0" applyBorder="0" applyAlignment="0"/>
    <xf numFmtId="1" fontId="189" fillId="0" borderId="0" applyProtection="0">
      <alignment horizontal="right" vertical="center"/>
    </xf>
    <xf numFmtId="193" fontId="190" fillId="0" borderId="0">
      <alignment horizontal="left"/>
    </xf>
    <xf numFmtId="320" fontId="43" fillId="0" borderId="0"/>
    <xf numFmtId="321" fontId="43" fillId="0" borderId="0"/>
    <xf numFmtId="255" fontId="8" fillId="0" borderId="0" applyFont="0" applyFill="0" applyBorder="0" applyAlignment="0" applyProtection="0"/>
    <xf numFmtId="322" fontId="8" fillId="0" borderId="0" applyFont="0" applyFill="0" applyBorder="0" applyAlignment="0" applyProtection="0"/>
    <xf numFmtId="170" fontId="44" fillId="0" borderId="0" applyFont="0" applyFill="0" applyBorder="0" applyAlignment="0" applyProtection="0">
      <protection locked="0"/>
    </xf>
    <xf numFmtId="10" fontId="44" fillId="0" borderId="0" applyFont="0" applyFill="0" applyBorder="0" applyAlignment="0" applyProtection="0">
      <protection locked="0"/>
    </xf>
    <xf numFmtId="10" fontId="8"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3" fontId="56" fillId="0" borderId="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24" fontId="63" fillId="80" borderId="0" applyBorder="0" applyAlignment="0">
      <protection locked="0"/>
    </xf>
    <xf numFmtId="9" fontId="56" fillId="0" borderId="0"/>
    <xf numFmtId="170" fontId="56" fillId="0" borderId="0"/>
    <xf numFmtId="10" fontId="56" fillId="0" borderId="0"/>
    <xf numFmtId="325" fontId="8" fillId="0" borderId="0" applyFont="0" applyFill="0" applyBorder="0" applyAlignment="0" applyProtection="0"/>
    <xf numFmtId="326" fontId="54" fillId="0" borderId="0"/>
    <xf numFmtId="327" fontId="54" fillId="0" borderId="0"/>
    <xf numFmtId="327" fontId="56" fillId="0" borderId="0"/>
    <xf numFmtId="328" fontId="8" fillId="0" borderId="0" applyBorder="0">
      <alignment horizontal="right"/>
    </xf>
    <xf numFmtId="329" fontId="52" fillId="0" borderId="0" applyBorder="0"/>
    <xf numFmtId="10" fontId="8" fillId="50" borderId="0"/>
    <xf numFmtId="180" fontId="8" fillId="0" borderId="0">
      <protection locked="0"/>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330" fontId="6" fillId="101" borderId="6">
      <alignment vertical="center"/>
    </xf>
    <xf numFmtId="0"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6" fillId="101"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23" fillId="101" borderId="6">
      <alignment vertical="center"/>
    </xf>
    <xf numFmtId="167" fontId="6" fillId="101" borderId="6">
      <alignment vertical="center"/>
    </xf>
    <xf numFmtId="0" fontId="23" fillId="101" borderId="6">
      <alignment vertical="center"/>
    </xf>
    <xf numFmtId="167" fontId="6" fillId="101" borderId="6">
      <alignment vertical="center"/>
    </xf>
    <xf numFmtId="0" fontId="23" fillId="101" borderId="6">
      <alignment vertical="center"/>
    </xf>
    <xf numFmtId="167" fontId="6" fillId="101" borderId="6">
      <alignment vertical="center"/>
    </xf>
    <xf numFmtId="0" fontId="23" fillId="101" borderId="6">
      <alignment vertical="center"/>
    </xf>
    <xf numFmtId="167"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171" fontId="6" fillId="101" borderId="6">
      <alignment vertical="center"/>
    </xf>
    <xf numFmtId="167"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0" fontId="8" fillId="32" borderId="3" applyNumberFormat="0" applyProtection="0">
      <alignment horizontal="left" vertical="center" indent="1"/>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101" borderId="6">
      <alignment vertical="center"/>
    </xf>
    <xf numFmtId="171" fontId="6" fillId="101" borderId="6">
      <alignment vertical="center"/>
    </xf>
    <xf numFmtId="171" fontId="23" fillId="101" borderId="6">
      <alignment vertical="center"/>
    </xf>
    <xf numFmtId="171" fontId="6" fillId="101" borderId="6">
      <alignment vertical="center"/>
    </xf>
    <xf numFmtId="171" fontId="23" fillId="101" borderId="6">
      <alignment vertical="center"/>
    </xf>
    <xf numFmtId="171" fontId="6"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67" fontId="23" fillId="90"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101" borderId="6">
      <alignment vertical="center"/>
    </xf>
    <xf numFmtId="167" fontId="6" fillId="101" borderId="6">
      <alignment vertical="center"/>
    </xf>
    <xf numFmtId="171" fontId="23" fillId="101" borderId="6">
      <alignment vertical="center"/>
    </xf>
    <xf numFmtId="167" fontId="6" fillId="101" borderId="6">
      <alignment vertical="center"/>
    </xf>
    <xf numFmtId="171" fontId="23" fillId="101" borderId="6">
      <alignment vertical="center"/>
    </xf>
    <xf numFmtId="167" fontId="6" fillId="101" borderId="6">
      <alignment vertical="center"/>
    </xf>
    <xf numFmtId="171" fontId="23" fillId="101" borderId="6">
      <alignment vertical="center"/>
    </xf>
    <xf numFmtId="167"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71"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67"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8" fillId="0" borderId="0" applyNumberFormat="0" applyFont="0" applyFill="0" applyBorder="0" applyAlignment="0" applyProtection="0"/>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101" borderId="6">
      <alignment vertical="center"/>
    </xf>
    <xf numFmtId="331" fontId="6" fillId="101" borderId="6">
      <alignment vertical="center"/>
    </xf>
    <xf numFmtId="171" fontId="23" fillId="101" borderId="6">
      <alignment vertical="center"/>
    </xf>
    <xf numFmtId="331" fontId="6" fillId="101" borderId="6">
      <alignment vertical="center"/>
    </xf>
    <xf numFmtId="171" fontId="23" fillId="101" borderId="6">
      <alignment vertical="center"/>
    </xf>
    <xf numFmtId="331" fontId="6" fillId="101" borderId="6">
      <alignment vertical="center"/>
    </xf>
    <xf numFmtId="171" fontId="23" fillId="101" borderId="6">
      <alignment vertical="center"/>
    </xf>
    <xf numFmtId="33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101" borderId="6">
      <alignment vertical="center"/>
    </xf>
    <xf numFmtId="331" fontId="23"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101" borderId="6">
      <alignment vertical="center"/>
    </xf>
    <xf numFmtId="331" fontId="23"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17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101" borderId="6">
      <alignment vertical="center"/>
    </xf>
    <xf numFmtId="171" fontId="6" fillId="101" borderId="6">
      <alignment vertical="center"/>
    </xf>
    <xf numFmtId="0" fontId="23" fillId="101" borderId="6">
      <alignment vertical="center"/>
    </xf>
    <xf numFmtId="171" fontId="6" fillId="101" borderId="6">
      <alignment vertical="center"/>
    </xf>
    <xf numFmtId="0" fontId="23" fillId="101" borderId="6">
      <alignment vertical="center"/>
    </xf>
    <xf numFmtId="171" fontId="6" fillId="101" borderId="6">
      <alignment vertical="center"/>
    </xf>
    <xf numFmtId="0" fontId="23" fillId="101" borderId="6">
      <alignment vertical="center"/>
    </xf>
    <xf numFmtId="171" fontId="6" fillId="101" borderId="6">
      <alignment vertical="center"/>
    </xf>
    <xf numFmtId="0" fontId="6" fillId="101" borderId="6">
      <alignment vertical="center"/>
    </xf>
    <xf numFmtId="0" fontId="6" fillId="101" borderId="6">
      <alignment vertical="center"/>
    </xf>
    <xf numFmtId="0"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332" fontId="43" fillId="0" borderId="0">
      <alignment horizontal="right"/>
    </xf>
    <xf numFmtId="40" fontId="8" fillId="0" borderId="0"/>
    <xf numFmtId="1" fontId="191" fillId="46" borderId="0">
      <alignment horizontal="center"/>
    </xf>
    <xf numFmtId="18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180" fontId="192" fillId="0" borderId="17">
      <alignment horizontal="center"/>
    </xf>
    <xf numFmtId="3" fontId="48" fillId="0" borderId="0" applyFont="0" applyFill="0" applyBorder="0" applyAlignment="0" applyProtection="0"/>
    <xf numFmtId="180" fontId="48" fillId="102" borderId="0" applyNumberFormat="0" applyFont="0" applyBorder="0" applyAlignment="0" applyProtection="0"/>
    <xf numFmtId="333" fontId="43" fillId="46" borderId="0"/>
    <xf numFmtId="334" fontId="19" fillId="46" borderId="0" applyFill="0"/>
    <xf numFmtId="180" fontId="193" fillId="0" borderId="0">
      <alignment horizontal="left" indent="7"/>
    </xf>
    <xf numFmtId="180" fontId="19" fillId="0" borderId="0" applyFill="0">
      <alignment horizontal="left" indent="7"/>
    </xf>
    <xf numFmtId="334" fontId="63" fillId="0" borderId="28">
      <alignment horizontal="right"/>
    </xf>
    <xf numFmtId="180" fontId="63" fillId="0" borderId="26" applyNumberFormat="0" applyFont="0" applyBorder="0">
      <alignment horizontal="right"/>
    </xf>
    <xf numFmtId="180" fontId="194" fillId="0" borderId="0" applyFill="0"/>
    <xf numFmtId="180" fontId="63" fillId="0" borderId="0" applyFill="0"/>
    <xf numFmtId="334" fontId="16" fillId="0" borderId="28" applyFill="0"/>
    <xf numFmtId="180" fontId="8" fillId="0" borderId="0" applyNumberFormat="0" applyFont="0" applyBorder="0" applyAlignment="0"/>
    <xf numFmtId="180" fontId="195" fillId="0" borderId="0" applyFill="0">
      <alignment horizontal="left" indent="1"/>
    </xf>
    <xf numFmtId="180" fontId="16" fillId="0" borderId="0">
      <alignment horizontal="left" indent="1"/>
    </xf>
    <xf numFmtId="334" fontId="63" fillId="0" borderId="28" applyFill="0"/>
    <xf numFmtId="180" fontId="8" fillId="0" borderId="0" applyNumberFormat="0" applyFont="0" applyFill="0" applyBorder="0" applyAlignment="0"/>
    <xf numFmtId="180" fontId="194" fillId="0" borderId="0" applyFill="0">
      <alignment horizontal="left" indent="2"/>
    </xf>
    <xf numFmtId="180" fontId="63" fillId="0" borderId="0" applyFill="0">
      <alignment horizontal="left" indent="2"/>
    </xf>
    <xf numFmtId="334" fontId="16" fillId="0" borderId="28" applyFill="0"/>
    <xf numFmtId="180" fontId="8" fillId="0" borderId="0" applyNumberFormat="0" applyFont="0" applyBorder="0" applyAlignment="0"/>
    <xf numFmtId="180" fontId="195" fillId="0" borderId="0">
      <alignment horizontal="left" indent="3"/>
    </xf>
    <xf numFmtId="180" fontId="16" fillId="0" borderId="0" applyFill="0">
      <alignment horizontal="left" indent="3"/>
    </xf>
    <xf numFmtId="334" fontId="63" fillId="0" borderId="28" applyFill="0"/>
    <xf numFmtId="180" fontId="8" fillId="0" borderId="0" applyNumberFormat="0" applyFont="0" applyBorder="0" applyAlignment="0"/>
    <xf numFmtId="180" fontId="194" fillId="0" borderId="0">
      <alignment horizontal="left" indent="4"/>
    </xf>
    <xf numFmtId="180" fontId="63" fillId="0" borderId="0" applyFill="0">
      <alignment horizontal="left" indent="4"/>
    </xf>
    <xf numFmtId="334" fontId="16" fillId="0" borderId="28" applyFill="0"/>
    <xf numFmtId="180" fontId="8" fillId="0" borderId="0" applyNumberFormat="0" applyFont="0" applyBorder="0" applyAlignment="0"/>
    <xf numFmtId="180" fontId="195" fillId="0" borderId="0">
      <alignment horizontal="left" indent="5"/>
    </xf>
    <xf numFmtId="180" fontId="16" fillId="0" borderId="0" applyFill="0">
      <alignment horizontal="left" indent="5"/>
    </xf>
    <xf numFmtId="334" fontId="63" fillId="0" borderId="28" applyFill="0"/>
    <xf numFmtId="180" fontId="8" fillId="0" borderId="0" applyNumberFormat="0" applyFont="0" applyFill="0" applyBorder="0" applyAlignment="0"/>
    <xf numFmtId="180" fontId="63" fillId="0" borderId="0" applyFill="0">
      <alignment horizontal="left" indent="6"/>
    </xf>
    <xf numFmtId="335" fontId="43" fillId="46" borderId="11">
      <alignment horizontal="right"/>
    </xf>
    <xf numFmtId="0" fontId="196" fillId="0" borderId="0"/>
    <xf numFmtId="14" fontId="197" fillId="0" borderId="0" applyNumberFormat="0" applyFill="0" applyBorder="0" applyAlignment="0" applyProtection="0">
      <alignment horizontal="left"/>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 borderId="26">
      <alignment vertical="center"/>
      <protection locked="0"/>
    </xf>
    <xf numFmtId="171" fontId="6" fillId="3" borderId="26">
      <alignment vertical="center"/>
      <protection locked="0"/>
    </xf>
    <xf numFmtId="167" fontId="23" fillId="3" borderId="26">
      <alignment vertical="center"/>
      <protection locked="0"/>
    </xf>
    <xf numFmtId="171" fontId="6" fillId="3" borderId="26">
      <alignment vertical="center"/>
      <protection locked="0"/>
    </xf>
    <xf numFmtId="167" fontId="23" fillId="3" borderId="26">
      <alignment vertical="center"/>
      <protection locked="0"/>
    </xf>
    <xf numFmtId="171" fontId="6" fillId="3" borderId="26">
      <alignment vertical="center"/>
      <protection locked="0"/>
    </xf>
    <xf numFmtId="167" fontId="23" fillId="3" borderId="26">
      <alignment vertical="center"/>
      <protection locked="0"/>
    </xf>
    <xf numFmtId="171"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 borderId="26">
      <alignment vertical="center"/>
      <protection locked="0"/>
    </xf>
    <xf numFmtId="171" fontId="23"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 borderId="26">
      <alignment vertical="center"/>
      <protection locked="0"/>
    </xf>
    <xf numFmtId="171" fontId="23"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67"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67"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 borderId="26">
      <alignment vertical="center"/>
      <protection locked="0"/>
    </xf>
    <xf numFmtId="167" fontId="6" fillId="3" borderId="26">
      <alignment vertical="center"/>
      <protection locked="0"/>
    </xf>
    <xf numFmtId="167" fontId="23" fillId="3" borderId="26">
      <alignment vertical="center"/>
      <protection locked="0"/>
    </xf>
    <xf numFmtId="167" fontId="6" fillId="3" borderId="26">
      <alignment vertical="center"/>
      <protection locked="0"/>
    </xf>
    <xf numFmtId="167" fontId="23" fillId="3" borderId="26">
      <alignment vertical="center"/>
      <protection locked="0"/>
    </xf>
    <xf numFmtId="167" fontId="6"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 borderId="26">
      <alignment vertical="center"/>
      <protection locked="0"/>
    </xf>
    <xf numFmtId="171" fontId="23"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 borderId="26">
      <alignment vertical="center"/>
      <protection locked="0"/>
    </xf>
    <xf numFmtId="171" fontId="23"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6" fillId="43"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9"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6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167" fontId="23" fillId="43" borderId="26">
      <alignment vertical="center"/>
    </xf>
    <xf numFmtId="337" fontId="6" fillId="43" borderId="26">
      <alignment vertical="center"/>
    </xf>
    <xf numFmtId="167" fontId="23" fillId="43" borderId="26">
      <alignment vertical="center"/>
    </xf>
    <xf numFmtId="337" fontId="6" fillId="43" borderId="26">
      <alignment vertical="center"/>
    </xf>
    <xf numFmtId="167" fontId="23" fillId="43" borderId="26">
      <alignment vertical="center"/>
    </xf>
    <xf numFmtId="33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43" borderId="26">
      <alignment vertical="center"/>
    </xf>
    <xf numFmtId="331" fontId="23"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43" borderId="26">
      <alignment vertical="center"/>
    </xf>
    <xf numFmtId="331" fontId="23"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23" fillId="38"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43" borderId="26">
      <alignment vertical="center"/>
    </xf>
    <xf numFmtId="337" fontId="6" fillId="43" borderId="26">
      <alignment vertical="center"/>
    </xf>
    <xf numFmtId="171" fontId="23" fillId="43" borderId="26">
      <alignment vertical="center"/>
    </xf>
    <xf numFmtId="337" fontId="6" fillId="43" borderId="26">
      <alignment vertical="center"/>
    </xf>
    <xf numFmtId="171" fontId="23" fillId="43" borderId="26">
      <alignment vertical="center"/>
    </xf>
    <xf numFmtId="337" fontId="6" fillId="43" borderId="26">
      <alignment vertical="center"/>
    </xf>
    <xf numFmtId="171" fontId="23" fillId="43" borderId="26">
      <alignment vertical="center"/>
    </xf>
    <xf numFmtId="337"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71"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171" fontId="23" fillId="38" borderId="26">
      <alignment vertical="center"/>
    </xf>
    <xf numFmtId="337" fontId="6" fillId="43" borderId="26">
      <alignment vertical="center"/>
    </xf>
    <xf numFmtId="171"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43" borderId="26">
      <alignment vertical="center"/>
    </xf>
    <xf numFmtId="171" fontId="6" fillId="43" borderId="26">
      <alignment vertical="center"/>
    </xf>
    <xf numFmtId="0" fontId="23" fillId="43" borderId="26">
      <alignment vertical="center"/>
    </xf>
    <xf numFmtId="171" fontId="6" fillId="43" borderId="26">
      <alignment vertical="center"/>
    </xf>
    <xf numFmtId="0" fontId="23" fillId="43" borderId="26">
      <alignment vertical="center"/>
    </xf>
    <xf numFmtId="171" fontId="6" fillId="43" borderId="26">
      <alignment vertical="center"/>
    </xf>
    <xf numFmtId="0" fontId="23" fillId="43" borderId="26">
      <alignment vertical="center"/>
    </xf>
    <xf numFmtId="171" fontId="6" fillId="43" borderId="26">
      <alignment vertical="center"/>
    </xf>
    <xf numFmtId="0" fontId="6" fillId="43" borderId="26">
      <alignment vertical="center"/>
    </xf>
    <xf numFmtId="0" fontId="6" fillId="43" borderId="26">
      <alignment vertical="center"/>
    </xf>
    <xf numFmtId="0"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43" borderId="26">
      <alignment vertical="center"/>
    </xf>
    <xf numFmtId="171" fontId="6" fillId="43" borderId="26">
      <alignment vertical="center"/>
    </xf>
    <xf numFmtId="167" fontId="23" fillId="43" borderId="26">
      <alignment vertical="center"/>
    </xf>
    <xf numFmtId="171" fontId="6" fillId="43" borderId="26">
      <alignment vertical="center"/>
    </xf>
    <xf numFmtId="167" fontId="23" fillId="43" borderId="26">
      <alignment vertical="center"/>
    </xf>
    <xf numFmtId="171" fontId="6" fillId="43" borderId="26">
      <alignment vertical="center"/>
    </xf>
    <xf numFmtId="167" fontId="23" fillId="43" borderId="26">
      <alignment vertical="center"/>
    </xf>
    <xf numFmtId="171"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67"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23" fillId="38"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6" fillId="44"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44" borderId="26">
      <alignment horizontal="right" vertical="center"/>
      <protection locked="0"/>
    </xf>
    <xf numFmtId="331" fontId="23"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44" borderId="26">
      <alignment horizontal="right" vertical="center"/>
      <protection locked="0"/>
    </xf>
    <xf numFmtId="331" fontId="23"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17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67"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336" fontId="23" fillId="0" borderId="0">
      <protection locked="0"/>
    </xf>
    <xf numFmtId="338" fontId="198" fillId="0" borderId="0"/>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45">
      <protection locked="0"/>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0"/>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45">
      <protection locked="0"/>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alignment horizontal="centerContinuous"/>
    </xf>
    <xf numFmtId="180" fontId="199" fillId="0" borderId="45">
      <alignment horizontal="centerContinuous"/>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protection locked="0"/>
    </xf>
    <xf numFmtId="180" fontId="199" fillId="0" borderId="45">
      <protection locked="0"/>
    </xf>
    <xf numFmtId="180" fontId="200" fillId="0" borderId="46">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8" fillId="45" borderId="3" applyNumberFormat="0" applyProtection="0">
      <alignment vertical="center"/>
    </xf>
    <xf numFmtId="4" fontId="18" fillId="45"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8"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201" fillId="45" borderId="3" applyNumberFormat="0" applyProtection="0">
      <alignment vertical="center"/>
    </xf>
    <xf numFmtId="4" fontId="201"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201" fillId="45" borderId="3" applyNumberFormat="0" applyProtection="0">
      <alignment vertical="center"/>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202" fillId="45" borderId="3" applyNumberFormat="0" applyProtection="0">
      <alignment horizontal="left" vertical="center" indent="1"/>
    </xf>
    <xf numFmtId="4" fontId="202" fillId="45"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202" fillId="45" borderId="3" applyNumberFormat="0" applyProtection="0">
      <alignment horizontal="left" vertical="center"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4" fontId="202" fillId="103" borderId="0" applyNumberFormat="0" applyProtection="0">
      <alignment horizontal="left" vertical="center" indent="1"/>
    </xf>
    <xf numFmtId="4" fontId="202" fillId="103" borderId="0" applyNumberFormat="0" applyProtection="0">
      <alignment horizontal="left" vertical="center" indent="1"/>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202" fillId="104" borderId="3" applyNumberFormat="0" applyProtection="0">
      <alignment horizontal="right" vertical="center"/>
    </xf>
    <xf numFmtId="4" fontId="202" fillId="104"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202" fillId="104"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202" fillId="89" borderId="3" applyNumberFormat="0" applyProtection="0">
      <alignment horizontal="right" vertical="center"/>
    </xf>
    <xf numFmtId="4" fontId="202" fillId="89"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202" fillId="89"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202" fillId="86" borderId="3" applyNumberFormat="0" applyProtection="0">
      <alignment horizontal="right" vertical="center"/>
    </xf>
    <xf numFmtId="4" fontId="202" fillId="86"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202" fillId="86"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202" fillId="38" borderId="3" applyNumberFormat="0" applyProtection="0">
      <alignment horizontal="right" vertical="center"/>
    </xf>
    <xf numFmtId="4" fontId="202" fillId="38"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202" fillId="38"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202" fillId="90" borderId="3" applyNumberFormat="0" applyProtection="0">
      <alignment horizontal="right" vertical="center"/>
    </xf>
    <xf numFmtId="4" fontId="202" fillId="90"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202" fillId="90"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202" fillId="37" borderId="3" applyNumberFormat="0" applyProtection="0">
      <alignment horizontal="right" vertical="center"/>
    </xf>
    <xf numFmtId="4" fontId="202" fillId="37"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202" fillId="37"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202" fillId="91" borderId="3" applyNumberFormat="0" applyProtection="0">
      <alignment horizontal="right" vertical="center"/>
    </xf>
    <xf numFmtId="4" fontId="202" fillId="91"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202" fillId="91"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202" fillId="105" borderId="3" applyNumberFormat="0" applyProtection="0">
      <alignment horizontal="right" vertical="center"/>
    </xf>
    <xf numFmtId="4" fontId="202" fillId="105"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202" fillId="105"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202" fillId="97" borderId="3" applyNumberFormat="0" applyProtection="0">
      <alignment horizontal="right" vertical="center"/>
    </xf>
    <xf numFmtId="4" fontId="202" fillId="97"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202" fillId="97" borderId="3" applyNumberFormat="0" applyProtection="0">
      <alignment horizontal="right" vertical="center"/>
    </xf>
    <xf numFmtId="4" fontId="18" fillId="106" borderId="4" applyNumberFormat="0" applyProtection="0">
      <alignment horizontal="left" vertical="center" indent="1"/>
    </xf>
    <xf numFmtId="4" fontId="18" fillId="106" borderId="4" applyNumberFormat="0" applyProtection="0">
      <alignment horizontal="left" vertical="center" indent="1"/>
    </xf>
    <xf numFmtId="4" fontId="18" fillId="40" borderId="0" applyNumberFormat="0" applyProtection="0">
      <alignment horizontal="left" vertical="center" indent="1"/>
    </xf>
    <xf numFmtId="4" fontId="18" fillId="40" borderId="0" applyNumberFormat="0" applyProtection="0">
      <alignment horizontal="left" vertical="center" indent="1"/>
    </xf>
    <xf numFmtId="4" fontId="18" fillId="103" borderId="0" applyNumberFormat="0" applyProtection="0">
      <alignment horizontal="left" vertical="center" indent="1"/>
    </xf>
    <xf numFmtId="4" fontId="18" fillId="103" borderId="0" applyNumberFormat="0" applyProtection="0">
      <alignment horizontal="left" vertical="center" indent="1"/>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202" fillId="40" borderId="3" applyNumberFormat="0" applyProtection="0">
      <alignment horizontal="right" vertical="center"/>
    </xf>
    <xf numFmtId="4" fontId="202" fillId="40"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202" fillId="40" borderId="3" applyNumberFormat="0" applyProtection="0">
      <alignment horizontal="right" vertical="center"/>
    </xf>
    <xf numFmtId="4" fontId="17" fillId="30" borderId="0" applyNumberFormat="0" applyProtection="0">
      <alignment horizontal="left" vertical="center" indent="1"/>
    </xf>
    <xf numFmtId="4" fontId="52" fillId="30" borderId="47" applyNumberFormat="0" applyProtection="0">
      <alignment horizontal="left" vertical="center" indent="1"/>
    </xf>
    <xf numFmtId="4" fontId="17" fillId="19" borderId="0" applyNumberFormat="0" applyProtection="0">
      <alignment horizontal="left" vertical="center" indent="1"/>
    </xf>
    <xf numFmtId="4" fontId="52" fillId="19" borderId="47"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52" fillId="61" borderId="48" applyNumberFormat="0" applyProtection="0">
      <alignment horizontal="left" vertical="center"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52" fillId="31" borderId="3" applyNumberFormat="0" applyProtection="0">
      <alignment horizontal="left" vertical="top"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52" fillId="83" borderId="48" applyNumberFormat="0" applyProtection="0">
      <alignment horizontal="left" vertical="center"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52" fillId="19" borderId="3" applyNumberFormat="0" applyProtection="0">
      <alignment horizontal="left" vertical="top"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52" fillId="32" borderId="48" applyNumberFormat="0" applyProtection="0">
      <alignment horizontal="left" vertical="center"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52" fillId="32" borderId="3" applyNumberFormat="0" applyProtection="0">
      <alignment horizontal="left" vertical="top"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52" fillId="30" borderId="48" applyNumberFormat="0" applyProtection="0">
      <alignment horizontal="left" vertical="center"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52" fillId="30" borderId="3" applyNumberFormat="0" applyProtection="0">
      <alignment horizontal="left" vertical="top" indent="1"/>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52" fillId="33" borderId="49" applyNumberFormat="0">
      <protection locked="0"/>
    </xf>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202" fillId="107" borderId="3" applyNumberFormat="0" applyProtection="0">
      <alignment vertical="center"/>
    </xf>
    <xf numFmtId="4" fontId="202" fillId="107"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202"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3" fillId="107" borderId="3" applyNumberFormat="0" applyProtection="0">
      <alignment vertical="center"/>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8" fillId="40" borderId="51" applyNumberFormat="0" applyProtection="0">
      <alignment horizontal="left" vertical="center" indent="1"/>
    </xf>
    <xf numFmtId="4" fontId="18" fillId="40" borderId="51"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8" fillId="40" borderId="51" applyNumberFormat="0" applyProtection="0">
      <alignment horizontal="left" vertical="center"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202" fillId="107" borderId="3" applyNumberFormat="0" applyProtection="0">
      <alignment horizontal="right" vertical="center"/>
    </xf>
    <xf numFmtId="4" fontId="202" fillId="107"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202"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3" fillId="107" borderId="3" applyNumberFormat="0" applyProtection="0">
      <alignment horizontal="right" vertical="center"/>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8" fillId="40" borderId="3" applyNumberFormat="0" applyProtection="0">
      <alignment horizontal="left" vertical="center" indent="1"/>
    </xf>
    <xf numFmtId="4" fontId="18" fillId="40"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8" fillId="40" borderId="3" applyNumberFormat="0" applyProtection="0">
      <alignment horizontal="left" vertical="center"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4" fontId="20" fillId="108" borderId="51" applyNumberFormat="0" applyProtection="0">
      <alignment horizontal="left" vertical="center" indent="1"/>
    </xf>
    <xf numFmtId="4" fontId="20" fillId="108" borderId="51" applyNumberFormat="0" applyProtection="0">
      <alignment horizontal="left" vertical="center" indent="1"/>
    </xf>
    <xf numFmtId="4" fontId="20" fillId="108" borderId="51" applyNumberFormat="0" applyProtection="0">
      <alignment horizontal="left" vertical="center" indent="1"/>
    </xf>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52" fillId="109" borderId="6"/>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52" fillId="109" borderId="6"/>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180" fontId="52" fillId="109" borderId="6"/>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0" fontId="8" fillId="0" borderId="0" applyNumberFormat="0" applyFont="0" applyFill="0" applyBorder="0" applyAlignment="0" applyProtection="0"/>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0" fontId="8" fillId="0" borderId="0" applyNumberFormat="0" applyFont="0" applyFill="0" applyBorder="0" applyAlignment="0" applyProtection="0"/>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4" fillId="107" borderId="3" applyNumberFormat="0" applyProtection="0">
      <alignment horizontal="right" vertical="center"/>
    </xf>
    <xf numFmtId="38" fontId="205" fillId="0" borderId="52">
      <alignment horizontal="center"/>
    </xf>
    <xf numFmtId="180" fontId="206" fillId="110" borderId="0"/>
    <xf numFmtId="180" fontId="77" fillId="0" borderId="0"/>
    <xf numFmtId="38" fontId="48" fillId="0" borderId="0" applyFont="0" applyFill="0" applyBorder="0" applyAlignment="0" applyProtection="0"/>
    <xf numFmtId="40" fontId="145" fillId="0" borderId="0" applyFont="0" applyFill="0" applyBorder="0" applyAlignment="0" applyProtection="0"/>
    <xf numFmtId="317" fontId="54" fillId="111" borderId="0" applyFont="0"/>
    <xf numFmtId="180" fontId="207" fillId="0" borderId="0"/>
    <xf numFmtId="0" fontId="8" fillId="0" borderId="0" applyNumberFormat="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 fillId="0" borderId="0" applyNumberFormat="0" applyFont="0" applyFill="0" applyBorder="0" applyAlignment="0" applyProtection="0"/>
    <xf numFmtId="0" fontId="22"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 fontId="8" fillId="0" borderId="0"/>
    <xf numFmtId="180" fontId="48" fillId="0" borderId="0">
      <alignment textRotation="90"/>
    </xf>
    <xf numFmtId="0" fontId="97" fillId="81" borderId="0" applyAlignment="0" applyProtection="0">
      <alignment horizontal="right" vertical="center"/>
    </xf>
    <xf numFmtId="190" fontId="57" fillId="0" borderId="0">
      <alignment vertical="center"/>
    </xf>
    <xf numFmtId="0" fontId="8" fillId="112" borderId="0"/>
    <xf numFmtId="339" fontId="17" fillId="0" borderId="0" applyFill="0" applyBorder="0" applyAlignment="0"/>
    <xf numFmtId="0" fontId="8" fillId="0" borderId="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0" fontId="8" fillId="0" borderId="0" applyFont="0" applyFill="0" applyBorder="0" applyAlignment="0" applyProtection="0"/>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38" fontId="8" fillId="0" borderId="0" applyFont="0" applyFill="0" applyBorder="0" applyAlignment="0" applyProtection="0"/>
    <xf numFmtId="180" fontId="8" fillId="0" borderId="0">
      <alignment vertical="top"/>
    </xf>
    <xf numFmtId="180" fontId="209" fillId="50" borderId="0" applyNumberFormat="0" applyProtection="0">
      <alignment horizontal="center" vertical="center"/>
    </xf>
    <xf numFmtId="4" fontId="17" fillId="50" borderId="0" applyProtection="0">
      <alignment horizontal="center" vertical="center"/>
    </xf>
    <xf numFmtId="180" fontId="210" fillId="50" borderId="0" applyNumberFormat="0" applyProtection="0">
      <alignment horizontal="center" vertical="center"/>
    </xf>
    <xf numFmtId="4" fontId="19" fillId="50" borderId="0" applyProtection="0">
      <alignment horizontal="center" vertical="center"/>
    </xf>
    <xf numFmtId="180" fontId="211" fillId="113" borderId="0" applyNumberFormat="0" applyProtection="0">
      <alignment horizontal="center" vertical="center"/>
    </xf>
    <xf numFmtId="4" fontId="21" fillId="113" borderId="0" applyProtection="0">
      <alignment horizontal="center" vertical="center"/>
    </xf>
    <xf numFmtId="180" fontId="208" fillId="50" borderId="0" applyNumberFormat="0" applyProtection="0">
      <alignment horizontal="center" vertical="center"/>
    </xf>
    <xf numFmtId="4" fontId="212" fillId="50" borderId="0" applyProtection="0">
      <alignment horizontal="center" vertical="center"/>
    </xf>
    <xf numFmtId="180" fontId="213" fillId="114" borderId="0" applyNumberFormat="0" applyProtection="0">
      <alignment horizontal="center" vertical="center"/>
    </xf>
    <xf numFmtId="4" fontId="60" fillId="114" borderId="0" applyProtection="0">
      <alignment horizontal="center" vertical="center"/>
    </xf>
    <xf numFmtId="180" fontId="15" fillId="50" borderId="0" applyNumberFormat="0" applyProtection="0">
      <alignment horizontal="center" vertical="center" wrapText="1"/>
    </xf>
    <xf numFmtId="180" fontId="16" fillId="50" borderId="0" applyNumberFormat="0" applyProtection="0">
      <alignment horizontal="center" vertical="center" wrapText="1"/>
    </xf>
    <xf numFmtId="180" fontId="140" fillId="113" borderId="0" applyNumberFormat="0" applyProtection="0">
      <alignment horizontal="center" vertical="center" wrapText="1"/>
    </xf>
    <xf numFmtId="180" fontId="214" fillId="50" borderId="0" applyNumberFormat="0" applyProtection="0">
      <alignment horizontal="center" vertical="center" wrapText="1"/>
    </xf>
    <xf numFmtId="180" fontId="15" fillId="50" borderId="0" applyNumberFormat="0" applyProtection="0">
      <alignment horizontal="center" vertical="center" wrapText="1"/>
    </xf>
    <xf numFmtId="4" fontId="215" fillId="50" borderId="0" applyProtection="0">
      <alignment horizontal="center" vertical="top" wrapText="1"/>
    </xf>
    <xf numFmtId="180" fontId="16" fillId="50" borderId="0" applyNumberFormat="0" applyProtection="0">
      <alignment horizontal="center" vertical="center" wrapText="1"/>
    </xf>
    <xf numFmtId="4" fontId="216" fillId="50" borderId="0" applyProtection="0">
      <alignment horizontal="center" vertical="top" wrapText="1"/>
    </xf>
    <xf numFmtId="180" fontId="140" fillId="113" borderId="0" applyNumberFormat="0" applyProtection="0">
      <alignment horizontal="center" vertical="center" wrapText="1"/>
    </xf>
    <xf numFmtId="4" fontId="217" fillId="113" borderId="0" applyProtection="0">
      <alignment horizontal="center" vertical="top" wrapText="1"/>
    </xf>
    <xf numFmtId="180" fontId="214" fillId="50" borderId="0" applyNumberFormat="0" applyProtection="0">
      <alignment horizontal="center" vertical="center" wrapText="1"/>
    </xf>
    <xf numFmtId="4" fontId="218" fillId="50" borderId="0" applyProtection="0">
      <alignment horizontal="center" vertical="top" wrapText="1"/>
    </xf>
    <xf numFmtId="180" fontId="186" fillId="114" borderId="0" applyNumberFormat="0" applyProtection="0">
      <alignment horizontal="center" vertical="center" wrapText="1"/>
    </xf>
    <xf numFmtId="4" fontId="219" fillId="114" borderId="0" applyProtection="0">
      <alignment horizontal="center" vertical="top" wrapText="1"/>
    </xf>
    <xf numFmtId="180" fontId="15" fillId="104" borderId="0" applyNumberFormat="0" applyProtection="0">
      <alignment horizontal="center" vertical="center" wrapText="1"/>
    </xf>
    <xf numFmtId="4" fontId="215" fillId="104" borderId="0" applyProtection="0">
      <alignment horizontal="center" vertical="top" wrapText="1"/>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80" fontId="220" fillId="0" borderId="0"/>
    <xf numFmtId="180" fontId="221" fillId="40" borderId="0"/>
    <xf numFmtId="180" fontId="222" fillId="0" borderId="0">
      <alignment horizontal="left" vertical="center"/>
    </xf>
    <xf numFmtId="252" fontId="77" fillId="0" borderId="0"/>
    <xf numFmtId="180" fontId="106" fillId="0" borderId="0"/>
    <xf numFmtId="180" fontId="77" fillId="0" borderId="0">
      <alignment horizontal="center"/>
    </xf>
    <xf numFmtId="37" fontId="63" fillId="0" borderId="53" applyNumberFormat="0"/>
    <xf numFmtId="40" fontId="8" fillId="0" borderId="0" applyBorder="0">
      <alignment horizontal="right"/>
    </xf>
    <xf numFmtId="37" fontId="63" fillId="0" borderId="53" applyNumberFormat="0"/>
    <xf numFmtId="40" fontId="223" fillId="0" borderId="0" applyBorder="0">
      <alignment horizontal="right"/>
    </xf>
    <xf numFmtId="0" fontId="224" fillId="0" borderId="5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15" fillId="46" borderId="6">
      <protection locked="0"/>
    </xf>
    <xf numFmtId="0" fontId="215" fillId="46" borderId="6">
      <protection locked="0"/>
    </xf>
    <xf numFmtId="180" fontId="225" fillId="0" borderId="0" applyBorder="0" applyProtection="0">
      <alignment vertical="center"/>
    </xf>
    <xf numFmtId="180" fontId="225" fillId="0" borderId="9" applyBorder="0" applyProtection="0">
      <alignment horizontal="right" vertical="center"/>
    </xf>
    <xf numFmtId="180" fontId="226" fillId="115" borderId="0" applyBorder="0" applyProtection="0">
      <alignment horizontal="centerContinuous" vertical="center"/>
    </xf>
    <xf numFmtId="180" fontId="226" fillId="114" borderId="9" applyBorder="0" applyProtection="0">
      <alignment horizontal="centerContinuous" vertical="center"/>
    </xf>
    <xf numFmtId="180" fontId="227" fillId="0" borderId="0"/>
    <xf numFmtId="180" fontId="168" fillId="0" borderId="0"/>
    <xf numFmtId="180" fontId="228" fillId="0" borderId="0" applyFill="0" applyBorder="0" applyProtection="0">
      <alignment horizontal="left"/>
    </xf>
    <xf numFmtId="180" fontId="113" fillId="0" borderId="10" applyFill="0" applyBorder="0" applyProtection="0">
      <alignment horizontal="left" vertical="top"/>
    </xf>
    <xf numFmtId="180" fontId="229" fillId="0" borderId="0">
      <alignment horizontal="centerContinuous"/>
    </xf>
    <xf numFmtId="49" fontId="230" fillId="0" borderId="0"/>
    <xf numFmtId="49" fontId="40" fillId="0" borderId="0" applyFont="0" applyFill="0" applyBorder="0" applyAlignment="0" applyProtection="0"/>
    <xf numFmtId="180" fontId="231" fillId="0" borderId="0"/>
    <xf numFmtId="49" fontId="40" fillId="0" borderId="0" applyFont="0" applyFill="0" applyBorder="0" applyAlignment="0" applyProtection="0"/>
    <xf numFmtId="180" fontId="232" fillId="0" borderId="0"/>
    <xf numFmtId="0" fontId="92" fillId="83" borderId="0" applyAlignment="0" applyProtection="0"/>
    <xf numFmtId="0" fontId="52" fillId="83" borderId="0" applyAlignment="0" applyProtection="0">
      <alignment horizontal="left"/>
    </xf>
    <xf numFmtId="0" fontId="52" fillId="83" borderId="0" applyAlignment="0" applyProtection="0">
      <alignment horizontal="left" indent="1"/>
    </xf>
    <xf numFmtId="0" fontId="52" fillId="83" borderId="0" applyAlignment="0" applyProtection="0">
      <alignment horizontal="left" vertical="center" indent="2"/>
    </xf>
    <xf numFmtId="340" fontId="77" fillId="0" borderId="0" applyFont="0" applyFill="0" applyBorder="0" applyAlignment="0" applyProtection="0"/>
    <xf numFmtId="0" fontId="233" fillId="0" borderId="0">
      <alignment horizontal="center"/>
    </xf>
    <xf numFmtId="15" fontId="233" fillId="0" borderId="0">
      <alignment horizontal="center"/>
    </xf>
    <xf numFmtId="0" fontId="22"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4"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234" fillId="0" borderId="0" applyNumberFormat="0" applyFill="0" applyBorder="0" applyAlignment="0" applyProtection="0"/>
    <xf numFmtId="0" fontId="8" fillId="0" borderId="0" applyNumberFormat="0" applyFont="0" applyFill="0" applyBorder="0" applyAlignment="0" applyProtection="0"/>
    <xf numFmtId="180" fontId="235" fillId="36" borderId="0">
      <alignment horizontal="right"/>
    </xf>
    <xf numFmtId="173" fontId="181" fillId="0" borderId="0"/>
    <xf numFmtId="180" fontId="236" fillId="0" borderId="0"/>
    <xf numFmtId="341" fontId="237" fillId="0" borderId="0"/>
    <xf numFmtId="193" fontId="8" fillId="0" borderId="53" applyNumberFormat="0" applyFont="0" applyFill="0" applyAlignment="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14" fillId="0" borderId="5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8" fillId="0" borderId="0" applyNumberFormat="0" applyFont="0" applyFill="0" applyBorder="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5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238" fillId="0" borderId="56" applyNumberFormat="0" applyFill="0" applyAlignment="0" applyProtection="0"/>
    <xf numFmtId="189" fontId="238" fillId="0" borderId="56" applyNumberFormat="0" applyFill="0" applyAlignment="0" applyProtection="0"/>
    <xf numFmtId="0" fontId="8" fillId="0" borderId="0" applyNumberFormat="0" applyFont="0" applyFill="0" applyBorder="0" applyAlignment="0" applyProtection="0"/>
    <xf numFmtId="37" fontId="63" fillId="0" borderId="57" applyNumberFormat="0" applyFill="0"/>
    <xf numFmtId="315" fontId="91" fillId="0" borderId="58" applyAlignment="0"/>
    <xf numFmtId="316" fontId="91" fillId="0" borderId="58" applyAlignment="0"/>
    <xf numFmtId="173" fontId="50" fillId="0" borderId="58"/>
    <xf numFmtId="342" fontId="53" fillId="0" borderId="0" applyFont="0" applyFill="0" applyBorder="0" applyAlignment="0" applyProtection="0">
      <alignment horizontal="right"/>
    </xf>
    <xf numFmtId="180" fontId="239" fillId="0" borderId="0">
      <alignment horizontal="fill"/>
    </xf>
    <xf numFmtId="37" fontId="52" fillId="45" borderId="0" applyNumberFormat="0" applyBorder="0" applyAlignment="0" applyProtection="0"/>
    <xf numFmtId="37" fontId="52" fillId="0" borderId="0"/>
    <xf numFmtId="37" fontId="52" fillId="46" borderId="0" applyNumberFormat="0" applyBorder="0" applyAlignment="0" applyProtection="0"/>
    <xf numFmtId="3" fontId="131" fillId="0" borderId="33" applyProtection="0"/>
    <xf numFmtId="4" fontId="50" fillId="0" borderId="0">
      <protection locked="0"/>
    </xf>
    <xf numFmtId="343" fontId="191" fillId="46" borderId="10" applyBorder="0">
      <alignment horizontal="right" vertical="center"/>
      <protection locked="0"/>
    </xf>
    <xf numFmtId="180" fontId="8" fillId="0" borderId="0">
      <alignment vertical="top"/>
    </xf>
    <xf numFmtId="180" fontId="240" fillId="0" borderId="0" applyFont="0" applyFill="0" applyBorder="0" applyAlignment="0" applyProtection="0"/>
    <xf numFmtId="245" fontId="116" fillId="0" borderId="0" applyFont="0" applyFill="0" applyBorder="0" applyAlignment="0" applyProtection="0"/>
    <xf numFmtId="344" fontId="116" fillId="0" borderId="0" applyFont="0" applyFill="0" applyBorder="0" applyAlignment="0" applyProtection="0"/>
    <xf numFmtId="345" fontId="116" fillId="0" borderId="0" applyFont="0" applyFill="0" applyBorder="0" applyAlignment="0" applyProtection="0"/>
    <xf numFmtId="204" fontId="52" fillId="0" borderId="0"/>
    <xf numFmtId="180" fontId="241" fillId="0" borderId="0"/>
    <xf numFmtId="346" fontId="8" fillId="0" borderId="0" applyFont="0" applyFill="0" applyBorder="0" applyAlignment="0" applyProtection="0"/>
    <xf numFmtId="256" fontId="8" fillId="0" borderId="0" applyFont="0" applyFill="0" applyBorder="0" applyAlignment="0" applyProtection="0"/>
    <xf numFmtId="0" fontId="242"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42" fillId="0" borderId="0" applyNumberFormat="0" applyFill="0" applyBorder="0" applyAlignment="0" applyProtection="0"/>
    <xf numFmtId="0" fontId="8" fillId="34" borderId="0" applyNumberFormat="0" applyFont="0" applyBorder="0" applyAlignment="0" applyProtection="0"/>
    <xf numFmtId="167" fontId="6" fillId="43" borderId="26">
      <alignment vertical="center"/>
    </xf>
    <xf numFmtId="167" fontId="6" fillId="3" borderId="26">
      <alignment vertical="center"/>
      <protection locked="0"/>
    </xf>
    <xf numFmtId="0" fontId="11" fillId="0" borderId="0"/>
    <xf numFmtId="0" fontId="27" fillId="0" borderId="0"/>
    <xf numFmtId="168" fontId="251" fillId="0" borderId="0" applyFill="0" applyBorder="0">
      <alignment vertical="center"/>
    </xf>
    <xf numFmtId="10" fontId="35" fillId="0" borderId="0" applyFont="0" applyFill="0" applyBorder="0" applyAlignment="0" applyProtection="0">
      <alignment vertical="center"/>
    </xf>
    <xf numFmtId="164" fontId="6" fillId="0" borderId="0" applyFont="0" applyFill="0" applyBorder="0" applyAlignment="0" applyProtection="0"/>
    <xf numFmtId="164" fontId="5" fillId="0" borderId="0" applyFont="0" applyFill="0" applyBorder="0" applyAlignment="0" applyProtection="0"/>
    <xf numFmtId="171" fontId="6" fillId="101" borderId="26">
      <alignment vertical="center"/>
    </xf>
    <xf numFmtId="10" fontId="35" fillId="0" borderId="0" applyFont="0" applyFill="0" applyBorder="0" applyAlignment="0" applyProtection="0">
      <alignment vertical="center"/>
    </xf>
    <xf numFmtId="349" fontId="8" fillId="0" borderId="0"/>
    <xf numFmtId="349" fontId="8" fillId="0" borderId="0"/>
    <xf numFmtId="349" fontId="11" fillId="0" borderId="0"/>
    <xf numFmtId="349" fontId="8" fillId="0" borderId="0"/>
    <xf numFmtId="349" fontId="11" fillId="0" borderId="0"/>
    <xf numFmtId="349" fontId="11"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11" fillId="0" borderId="0"/>
    <xf numFmtId="349" fontId="11" fillId="0" borderId="0"/>
    <xf numFmtId="349" fontId="11" fillId="0" borderId="0"/>
    <xf numFmtId="349" fontId="8" fillId="0" borderId="0"/>
    <xf numFmtId="349" fontId="11" fillId="0" borderId="0"/>
    <xf numFmtId="349" fontId="8" fillId="0" borderId="0"/>
    <xf numFmtId="349" fontId="11" fillId="0" borderId="0"/>
    <xf numFmtId="349" fontId="11" fillId="0" borderId="0"/>
    <xf numFmtId="349" fontId="11"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47" fillId="0" borderId="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8" fillId="0" borderId="0" applyFont="0" applyFill="0" applyBorder="0" applyAlignment="0" applyProtection="0"/>
    <xf numFmtId="349" fontId="47" fillId="0" borderId="0"/>
    <xf numFmtId="349" fontId="8" fillId="0" borderId="0" applyFont="0" applyFill="0" applyBorder="0" applyAlignment="0" applyProtection="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alignment vertical="center"/>
    </xf>
    <xf numFmtId="349" fontId="11" fillId="0" borderId="0"/>
    <xf numFmtId="349" fontId="11" fillId="0" borderId="0"/>
    <xf numFmtId="349" fontId="11" fillId="0" borderId="0"/>
    <xf numFmtId="349" fontId="11" fillId="0" borderId="0"/>
    <xf numFmtId="349" fontId="8" fillId="0" borderId="0">
      <alignment vertical="center"/>
    </xf>
    <xf numFmtId="349" fontId="8" fillId="0" borderId="0">
      <alignment vertical="center"/>
    </xf>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11" fillId="0" borderId="0"/>
    <xf numFmtId="349" fontId="11" fillId="0" borderId="0"/>
    <xf numFmtId="349" fontId="8" fillId="0" borderId="0"/>
    <xf numFmtId="349" fontId="8" fillId="0" borderId="0"/>
    <xf numFmtId="349" fontId="8" fillId="0" borderId="0"/>
    <xf numFmtId="349" fontId="8" fillId="0" borderId="0"/>
    <xf numFmtId="349" fontId="8" fillId="0" borderId="0"/>
    <xf numFmtId="349" fontId="11" fillId="0" borderId="0">
      <alignment vertical="justify"/>
    </xf>
    <xf numFmtId="349" fontId="17" fillId="30" borderId="0" applyNumberFormat="0" applyBorder="0" applyAlignment="0" applyProtection="0"/>
    <xf numFmtId="349" fontId="17" fillId="30" borderId="0" applyNumberFormat="0" applyBorder="0" applyAlignment="0" applyProtection="0"/>
    <xf numFmtId="349" fontId="17" fillId="19" borderId="0" applyNumberFormat="0" applyBorder="0" applyAlignment="0" applyProtection="0"/>
    <xf numFmtId="349" fontId="17" fillId="19" borderId="0" applyNumberFormat="0" applyBorder="0" applyAlignment="0" applyProtection="0"/>
    <xf numFmtId="349" fontId="17" fillId="27" borderId="0" applyNumberFormat="0" applyBorder="0" applyAlignment="0" applyProtection="0"/>
    <xf numFmtId="349" fontId="17" fillId="27" borderId="0" applyNumberFormat="0" applyBorder="0" applyAlignment="0" applyProtection="0"/>
    <xf numFmtId="349" fontId="17" fillId="118" borderId="0" applyNumberFormat="0" applyBorder="0" applyAlignment="0" applyProtection="0"/>
    <xf numFmtId="349" fontId="17" fillId="118" borderId="0" applyNumberFormat="0" applyBorder="0" applyAlignment="0" applyProtection="0"/>
    <xf numFmtId="349" fontId="17" fillId="30" borderId="0" applyNumberFormat="0" applyBorder="0" applyAlignment="0" applyProtection="0"/>
    <xf numFmtId="349" fontId="17" fillId="30" borderId="0" applyNumberFormat="0" applyBorder="0" applyAlignment="0" applyProtection="0"/>
    <xf numFmtId="349" fontId="17" fillId="60" borderId="0" applyNumberFormat="0" applyBorder="0" applyAlignment="0" applyProtection="0"/>
    <xf numFmtId="349" fontId="17" fillId="60" borderId="0" applyNumberFormat="0" applyBorder="0" applyAlignment="0" applyProtection="0"/>
    <xf numFmtId="349" fontId="17" fillId="61" borderId="0" applyNumberFormat="0" applyBorder="0" applyAlignment="0" applyProtection="0"/>
    <xf numFmtId="349" fontId="17" fillId="61" borderId="0" applyNumberFormat="0" applyBorder="0" applyAlignment="0" applyProtection="0"/>
    <xf numFmtId="349" fontId="17" fillId="19" borderId="0" applyNumberFormat="0" applyBorder="0" applyAlignment="0" applyProtection="0"/>
    <xf numFmtId="349" fontId="17" fillId="19" borderId="0" applyNumberFormat="0" applyBorder="0" applyAlignment="0" applyProtection="0"/>
    <xf numFmtId="349" fontId="17" fillId="26" borderId="0" applyNumberFormat="0" applyBorder="0" applyAlignment="0" applyProtection="0"/>
    <xf numFmtId="349" fontId="17" fillId="26" borderId="0" applyNumberFormat="0" applyBorder="0" applyAlignment="0" applyProtection="0"/>
    <xf numFmtId="349" fontId="17" fillId="119" borderId="0" applyNumberFormat="0" applyBorder="0" applyAlignment="0" applyProtection="0"/>
    <xf numFmtId="349" fontId="17" fillId="119" borderId="0" applyNumberFormat="0" applyBorder="0" applyAlignment="0" applyProtection="0"/>
    <xf numFmtId="349" fontId="17" fillId="31" borderId="0" applyNumberFormat="0" applyBorder="0" applyAlignment="0" applyProtection="0"/>
    <xf numFmtId="349" fontId="17" fillId="31" borderId="0" applyNumberFormat="0" applyBorder="0" applyAlignment="0" applyProtection="0"/>
    <xf numFmtId="349" fontId="17" fillId="60" borderId="0" applyNumberFormat="0" applyBorder="0" applyAlignment="0" applyProtection="0"/>
    <xf numFmtId="349" fontId="17" fillId="60" borderId="0" applyNumberFormat="0" applyBorder="0" applyAlignment="0" applyProtection="0"/>
    <xf numFmtId="349" fontId="60" fillId="120" borderId="0" applyNumberFormat="0" applyBorder="0" applyAlignment="0" applyProtection="0"/>
    <xf numFmtId="349" fontId="60" fillId="120" borderId="0" applyNumberFormat="0" applyBorder="0" applyAlignment="0" applyProtection="0"/>
    <xf numFmtId="349" fontId="60" fillId="19" borderId="0" applyNumberFormat="0" applyBorder="0" applyAlignment="0" applyProtection="0"/>
    <xf numFmtId="349" fontId="60" fillId="19" borderId="0" applyNumberFormat="0" applyBorder="0" applyAlignment="0" applyProtection="0"/>
    <xf numFmtId="349" fontId="60" fillId="26" borderId="0" applyNumberFormat="0" applyBorder="0" applyAlignment="0" applyProtection="0"/>
    <xf numFmtId="349" fontId="60" fillId="26" borderId="0" applyNumberFormat="0" applyBorder="0" applyAlignment="0" applyProtection="0"/>
    <xf numFmtId="349" fontId="60" fillId="119" borderId="0" applyNumberFormat="0" applyBorder="0" applyAlignment="0" applyProtection="0"/>
    <xf numFmtId="349" fontId="60" fillId="119" borderId="0" applyNumberFormat="0" applyBorder="0" applyAlignment="0" applyProtection="0"/>
    <xf numFmtId="349" fontId="60" fillId="120" borderId="0" applyNumberFormat="0" applyBorder="0" applyAlignment="0" applyProtection="0"/>
    <xf numFmtId="349" fontId="60" fillId="120" borderId="0" applyNumberFormat="0" applyBorder="0" applyAlignment="0" applyProtection="0"/>
    <xf numFmtId="349" fontId="60" fillId="23" borderId="0" applyNumberFormat="0" applyBorder="0" applyAlignment="0" applyProtection="0"/>
    <xf numFmtId="349" fontId="60" fillId="23" borderId="0" applyNumberFormat="0" applyBorder="0" applyAlignment="0" applyProtection="0"/>
    <xf numFmtId="349" fontId="12" fillId="65" borderId="0" applyNumberFormat="0" applyBorder="0" applyAlignment="0" applyProtection="0"/>
    <xf numFmtId="349" fontId="12" fillId="12" borderId="0" applyNumberFormat="0" applyBorder="0" applyAlignment="0" applyProtection="0"/>
    <xf numFmtId="349" fontId="13" fillId="121" borderId="0" applyNumberFormat="0" applyBorder="0" applyAlignment="0" applyProtection="0"/>
    <xf numFmtId="349" fontId="13" fillId="66" borderId="0" applyNumberFormat="0" applyBorder="0" applyAlignment="0" applyProtection="0"/>
    <xf numFmtId="349" fontId="13" fillId="66" borderId="0" applyNumberFormat="0" applyBorder="0" applyAlignment="0" applyProtection="0"/>
    <xf numFmtId="349" fontId="12" fillId="68" borderId="0" applyNumberFormat="0" applyBorder="0" applyAlignment="0" applyProtection="0"/>
    <xf numFmtId="349" fontId="12" fillId="11" borderId="0" applyNumberFormat="0" applyBorder="0" applyAlignment="0" applyProtection="0"/>
    <xf numFmtId="349" fontId="13" fillId="8" borderId="0" applyNumberFormat="0" applyBorder="0" applyAlignment="0" applyProtection="0"/>
    <xf numFmtId="349" fontId="13" fillId="69" borderId="0" applyNumberFormat="0" applyBorder="0" applyAlignment="0" applyProtection="0"/>
    <xf numFmtId="349" fontId="13" fillId="69" borderId="0" applyNumberFormat="0" applyBorder="0" applyAlignment="0" applyProtection="0"/>
    <xf numFmtId="349" fontId="12" fillId="70" borderId="0" applyNumberFormat="0" applyBorder="0" applyAlignment="0" applyProtection="0"/>
    <xf numFmtId="349" fontId="12" fillId="71" borderId="0" applyNumberFormat="0" applyBorder="0" applyAlignment="0" applyProtection="0"/>
    <xf numFmtId="349" fontId="13" fillId="122" borderId="0" applyNumberFormat="0" applyBorder="0" applyAlignment="0" applyProtection="0"/>
    <xf numFmtId="349" fontId="13" fillId="123" borderId="0" applyNumberFormat="0" applyBorder="0" applyAlignment="0" applyProtection="0"/>
    <xf numFmtId="349" fontId="13" fillId="123" borderId="0" applyNumberFormat="0" applyBorder="0" applyAlignment="0" applyProtection="0"/>
    <xf numFmtId="349" fontId="12" fillId="68" borderId="0" applyNumberFormat="0" applyBorder="0" applyAlignment="0" applyProtection="0"/>
    <xf numFmtId="349" fontId="12" fillId="9" borderId="0" applyNumberFormat="0" applyBorder="0" applyAlignment="0" applyProtection="0"/>
    <xf numFmtId="349" fontId="13" fillId="11" borderId="0" applyNumberFormat="0" applyBorder="0" applyAlignment="0" applyProtection="0"/>
    <xf numFmtId="349" fontId="13" fillId="124" borderId="0" applyNumberFormat="0" applyBorder="0" applyAlignment="0" applyProtection="0"/>
    <xf numFmtId="349" fontId="13" fillId="124" borderId="0" applyNumberFormat="0" applyBorder="0" applyAlignment="0" applyProtection="0"/>
    <xf numFmtId="349" fontId="12" fillId="10" borderId="0" applyNumberFormat="0" applyBorder="0" applyAlignment="0" applyProtection="0"/>
    <xf numFmtId="349" fontId="12" fillId="5" borderId="0" applyNumberFormat="0" applyBorder="0" applyAlignment="0" applyProtection="0"/>
    <xf numFmtId="349" fontId="13" fillId="121" borderId="0" applyNumberFormat="0" applyBorder="0" applyAlignment="0" applyProtection="0"/>
    <xf numFmtId="349" fontId="13" fillId="121" borderId="0" applyNumberFormat="0" applyBorder="0" applyAlignment="0" applyProtection="0"/>
    <xf numFmtId="349" fontId="13" fillId="121" borderId="0" applyNumberFormat="0" applyBorder="0" applyAlignment="0" applyProtection="0"/>
    <xf numFmtId="349" fontId="12" fillId="13" borderId="0" applyNumberFormat="0" applyBorder="0" applyAlignment="0" applyProtection="0"/>
    <xf numFmtId="349" fontId="12" fillId="14" borderId="0" applyNumberFormat="0" applyBorder="0" applyAlignment="0" applyProtection="0"/>
    <xf numFmtId="349" fontId="13" fillId="125" borderId="0" applyNumberFormat="0" applyBorder="0" applyAlignment="0" applyProtection="0"/>
    <xf numFmtId="349" fontId="13" fillId="126" borderId="0" applyNumberFormat="0" applyBorder="0" applyAlignment="0" applyProtection="0"/>
    <xf numFmtId="349" fontId="13" fillId="126" borderId="0" applyNumberFormat="0" applyBorder="0" applyAlignment="0" applyProtection="0"/>
    <xf numFmtId="349" fontId="252" fillId="13" borderId="0" applyNumberFormat="0" applyBorder="0" applyAlignment="0" applyProtection="0"/>
    <xf numFmtId="349" fontId="252" fillId="13" borderId="0" applyNumberFormat="0" applyBorder="0" applyAlignment="0" applyProtection="0"/>
    <xf numFmtId="349" fontId="253" fillId="127" borderId="107" applyNumberFormat="0" applyAlignment="0" applyProtection="0"/>
    <xf numFmtId="349" fontId="253" fillId="127" borderId="107" applyNumberFormat="0" applyAlignment="0" applyProtection="0"/>
    <xf numFmtId="349" fontId="89" fillId="124" borderId="15" applyNumberFormat="0" applyAlignment="0" applyProtection="0"/>
    <xf numFmtId="349" fontId="89" fillId="124" borderId="15" applyNumberFormat="0" applyAlignment="0" applyProtection="0"/>
    <xf numFmtId="37" fontId="63" fillId="0" borderId="88">
      <alignment horizontal="center"/>
    </xf>
    <xf numFmtId="349" fontId="8" fillId="0" borderId="0" applyNumberFormat="0" applyFont="0" applyBorder="0" applyAlignment="0"/>
    <xf numFmtId="349" fontId="8" fillId="0" borderId="0" applyNumberFormat="0" applyFont="0" applyBorder="0" applyAlignment="0"/>
    <xf numFmtId="349" fontId="8" fillId="0" borderId="0" applyNumberFormat="0" applyFont="0" applyBorder="0" applyAlignment="0"/>
    <xf numFmtId="349" fontId="8" fillId="0" borderId="0" applyNumberFormat="0" applyFont="0" applyBorder="0" applyAlignment="0"/>
    <xf numFmtId="349" fontId="8" fillId="0" borderId="0" applyNumberFormat="0" applyFont="0" applyBorder="0" applyAlignment="0"/>
    <xf numFmtId="349" fontId="8" fillId="0" borderId="0" applyNumberFormat="0" applyFont="0" applyBorder="0" applyAlignment="0"/>
    <xf numFmtId="349" fontId="8" fillId="0" borderId="0" applyNumberFormat="0" applyFont="0" applyBorder="0" applyAlignment="0"/>
    <xf numFmtId="349" fontId="8" fillId="0" borderId="0" applyNumberFormat="0" applyFont="0" applyBorder="0" applyAlignment="0"/>
    <xf numFmtId="349" fontId="8" fillId="0" borderId="0" applyNumberFormat="0" applyFont="0" applyBorder="0" applyAlignment="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49" fontId="14" fillId="128" borderId="0" applyNumberFormat="0" applyBorder="0" applyAlignment="0" applyProtection="0"/>
    <xf numFmtId="349" fontId="14" fillId="129" borderId="0" applyNumberFormat="0" applyBorder="0" applyAlignment="0" applyProtection="0"/>
    <xf numFmtId="349" fontId="14" fillId="17" borderId="0" applyNumberFormat="0" applyBorder="0" applyAlignment="0" applyProtection="0"/>
    <xf numFmtId="349" fontId="48" fillId="0" borderId="0" applyFont="0" applyFill="0" applyBorder="0" applyAlignment="0" applyProtection="0"/>
    <xf numFmtId="349" fontId="254" fillId="0" borderId="0" applyNumberFormat="0" applyFill="0" applyBorder="0" applyAlignment="0" applyProtection="0"/>
    <xf numFmtId="349" fontId="254" fillId="0" borderId="0" applyNumberFormat="0" applyFill="0" applyBorder="0" applyAlignment="0" applyProtection="0"/>
    <xf numFmtId="349" fontId="12" fillId="71" borderId="0" applyNumberFormat="0" applyBorder="0" applyAlignment="0" applyProtection="0"/>
    <xf numFmtId="349" fontId="12" fillId="71" borderId="0" applyNumberFormat="0" applyBorder="0" applyAlignment="0" applyProtection="0"/>
    <xf numFmtId="349" fontId="8" fillId="61" borderId="0" applyNumberFormat="0" applyFont="0" applyBorder="0" applyAlignment="0" applyProtection="0"/>
    <xf numFmtId="349" fontId="8" fillId="61" borderId="0" applyNumberFormat="0" applyFont="0" applyBorder="0" applyAlignment="0" applyProtection="0"/>
    <xf numFmtId="349" fontId="8" fillId="61" borderId="0" applyNumberFormat="0" applyFont="0" applyBorder="0" applyAlignment="0" applyProtection="0"/>
    <xf numFmtId="349" fontId="8" fillId="61" borderId="0" applyNumberFormat="0" applyFont="0" applyBorder="0" applyAlignment="0" applyProtection="0"/>
    <xf numFmtId="349" fontId="8" fillId="61" borderId="0" applyNumberFormat="0" applyFont="0" applyBorder="0" applyAlignment="0" applyProtection="0"/>
    <xf numFmtId="349" fontId="8" fillId="61" borderId="0" applyNumberFormat="0" applyFont="0" applyBorder="0" applyAlignment="0" applyProtection="0"/>
    <xf numFmtId="349" fontId="8" fillId="61" borderId="0" applyNumberFormat="0" applyFont="0" applyBorder="0" applyAlignment="0" applyProtection="0"/>
    <xf numFmtId="349" fontId="8" fillId="61" borderId="0" applyNumberFormat="0" applyFont="0" applyBorder="0" applyAlignment="0" applyProtection="0"/>
    <xf numFmtId="349" fontId="8" fillId="61" borderId="0" applyNumberFormat="0" applyFont="0" applyBorder="0" applyAlignment="0" applyProtection="0"/>
    <xf numFmtId="349" fontId="121" fillId="0" borderId="29" applyNumberFormat="0" applyFill="0" applyAlignment="0" applyProtection="0"/>
    <xf numFmtId="349" fontId="121" fillId="0" borderId="29" applyNumberFormat="0" applyFill="0" applyAlignment="0" applyProtection="0"/>
    <xf numFmtId="349" fontId="124" fillId="0" borderId="108" applyNumberFormat="0" applyFill="0" applyAlignment="0" applyProtection="0"/>
    <xf numFmtId="349" fontId="124" fillId="0" borderId="108" applyNumberFormat="0" applyFill="0" applyAlignment="0" applyProtection="0"/>
    <xf numFmtId="349" fontId="127" fillId="0" borderId="109" applyNumberFormat="0" applyFill="0" applyAlignment="0" applyProtection="0"/>
    <xf numFmtId="349" fontId="127" fillId="0" borderId="109" applyNumberFormat="0" applyFill="0" applyAlignment="0" applyProtection="0"/>
    <xf numFmtId="349" fontId="127" fillId="0" borderId="0" applyNumberFormat="0" applyFill="0" applyBorder="0" applyAlignment="0" applyProtection="0"/>
    <xf numFmtId="349" fontId="127" fillId="0" borderId="0" applyNumberFormat="0" applyFill="0" applyBorder="0" applyAlignment="0" applyProtection="0"/>
    <xf numFmtId="349" fontId="141" fillId="14" borderId="107" applyNumberFormat="0" applyAlignment="0" applyProtection="0"/>
    <xf numFmtId="349" fontId="141" fillId="14" borderId="107" applyNumberFormat="0" applyAlignment="0" applyProtection="0"/>
    <xf numFmtId="349" fontId="144" fillId="34" borderId="0"/>
    <xf numFmtId="349" fontId="117" fillId="0" borderId="110" applyNumberFormat="0" applyFill="0" applyAlignment="0" applyProtection="0"/>
    <xf numFmtId="349" fontId="117" fillId="0" borderId="110" applyNumberFormat="0" applyFill="0" applyAlignment="0" applyProtection="0"/>
    <xf numFmtId="349" fontId="117" fillId="14" borderId="0" applyNumberFormat="0" applyBorder="0" applyAlignment="0" applyProtection="0"/>
    <xf numFmtId="349" fontId="117" fillId="14" borderId="0" applyNumberFormat="0" applyBorder="0" applyAlignment="0" applyProtection="0"/>
    <xf numFmtId="349" fontId="23" fillId="0" borderId="0"/>
    <xf numFmtId="349" fontId="23" fillId="0" borderId="0"/>
    <xf numFmtId="349" fontId="23" fillId="0" borderId="0"/>
    <xf numFmtId="349" fontId="23" fillId="0" borderId="0"/>
    <xf numFmtId="349" fontId="23" fillId="0" borderId="0"/>
    <xf numFmtId="349" fontId="8" fillId="0" borderId="0"/>
    <xf numFmtId="349" fontId="8" fillId="0" borderId="0"/>
    <xf numFmtId="349" fontId="8" fillId="0" borderId="0"/>
    <xf numFmtId="349" fontId="8" fillId="0" borderId="0"/>
    <xf numFmtId="0" fontId="6" fillId="0" borderId="0"/>
    <xf numFmtId="349" fontId="12" fillId="0" borderId="0" applyFill="0" applyBorder="0" applyAlignment="0" applyProtection="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12" fillId="0" borderId="0"/>
    <xf numFmtId="349" fontId="12" fillId="0" borderId="0" applyFill="0" applyBorder="0" applyAlignment="0" applyProtection="0"/>
    <xf numFmtId="349" fontId="8"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8" fillId="0" borderId="0"/>
    <xf numFmtId="349" fontId="8" fillId="0" borderId="0"/>
    <xf numFmtId="349" fontId="8" fillId="0" borderId="0"/>
    <xf numFmtId="349" fontId="8" fillId="0" borderId="0"/>
    <xf numFmtId="349" fontId="8" fillId="0" borderId="0"/>
    <xf numFmtId="349" fontId="12" fillId="0" borderId="0" applyFill="0" applyBorder="0" applyAlignment="0" applyProtection="0"/>
    <xf numFmtId="349" fontId="12" fillId="0" borderId="0" applyFill="0" applyBorder="0" applyAlignment="0" applyProtection="0"/>
    <xf numFmtId="349" fontId="8" fillId="0" borderId="0"/>
    <xf numFmtId="349" fontId="8" fillId="0" borderId="0"/>
    <xf numFmtId="349" fontId="8" fillId="0" borderId="0"/>
    <xf numFmtId="349" fontId="8" fillId="0" borderId="0"/>
    <xf numFmtId="349" fontId="8" fillId="0" borderId="0"/>
    <xf numFmtId="349" fontId="8"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8" fillId="0" borderId="0"/>
    <xf numFmtId="349" fontId="8" fillId="0" borderId="0"/>
    <xf numFmtId="349" fontId="8" fillId="0" borderId="0"/>
    <xf numFmtId="349" fontId="8" fillId="0" borderId="0"/>
    <xf numFmtId="349" fontId="8" fillId="0" borderId="0"/>
    <xf numFmtId="349" fontId="8" fillId="0" borderId="0"/>
    <xf numFmtId="349" fontId="8" fillId="0" borderId="0"/>
    <xf numFmtId="349" fontId="6"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8" fillId="0" borderId="0"/>
    <xf numFmtId="349" fontId="8" fillId="0" borderId="0"/>
    <xf numFmtId="349" fontId="8" fillId="0" borderId="0"/>
    <xf numFmtId="349" fontId="27" fillId="0" borderId="0"/>
    <xf numFmtId="349" fontId="5" fillId="0" borderId="0"/>
    <xf numFmtId="349" fontId="8" fillId="0" borderId="0"/>
    <xf numFmtId="349" fontId="5" fillId="0" borderId="0"/>
    <xf numFmtId="349" fontId="5" fillId="0" borderId="0"/>
    <xf numFmtId="349" fontId="5" fillId="0" borderId="0"/>
    <xf numFmtId="349" fontId="5" fillId="0" borderId="0"/>
    <xf numFmtId="349" fontId="5" fillId="0" borderId="0"/>
    <xf numFmtId="349" fontId="5" fillId="0" borderId="0"/>
    <xf numFmtId="349" fontId="5" fillId="0" borderId="0"/>
    <xf numFmtId="349" fontId="5" fillId="0" borderId="0"/>
    <xf numFmtId="349" fontId="5" fillId="0" borderId="0"/>
    <xf numFmtId="349" fontId="5" fillId="0" borderId="0"/>
    <xf numFmtId="349" fontId="5" fillId="0" borderId="0"/>
    <xf numFmtId="349" fontId="8" fillId="0" borderId="0"/>
    <xf numFmtId="349" fontId="8" fillId="0" borderId="0"/>
    <xf numFmtId="349" fontId="8" fillId="0" borderId="0"/>
    <xf numFmtId="349" fontId="8"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5" fillId="0" borderId="0"/>
    <xf numFmtId="349" fontId="5" fillId="0" borderId="0"/>
    <xf numFmtId="349" fontId="5" fillId="0" borderId="0"/>
    <xf numFmtId="349" fontId="5" fillId="0" borderId="0"/>
    <xf numFmtId="349" fontId="5" fillId="0" borderId="0"/>
    <xf numFmtId="349" fontId="5"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5" fillId="0" borderId="0"/>
    <xf numFmtId="349" fontId="5"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8" fillId="0" borderId="0"/>
    <xf numFmtId="349" fontId="12" fillId="0" borderId="0" applyFill="0" applyBorder="0" applyAlignment="0" applyProtection="0"/>
    <xf numFmtId="349" fontId="23"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applyFill="0" applyBorder="0" applyAlignment="0" applyProtection="0"/>
    <xf numFmtId="349" fontId="12" fillId="0" borderId="0"/>
    <xf numFmtId="349" fontId="12" fillId="0" borderId="0"/>
    <xf numFmtId="349" fontId="12" fillId="0" borderId="0"/>
    <xf numFmtId="349" fontId="12" fillId="0" borderId="0"/>
    <xf numFmtId="349" fontId="12" fillId="0" borderId="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applyFill="0" applyBorder="0" applyAlignment="0" applyProtection="0"/>
    <xf numFmtId="349" fontId="12" fillId="0" borderId="0"/>
    <xf numFmtId="349" fontId="12" fillId="0" borderId="0"/>
    <xf numFmtId="349" fontId="11" fillId="0" borderId="0">
      <alignment vertical="top"/>
    </xf>
    <xf numFmtId="349" fontId="105" fillId="0" borderId="0" applyFill="0" applyBorder="0">
      <protection locked="0"/>
    </xf>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83" fillId="127" borderId="111" applyNumberFormat="0" applyAlignment="0" applyProtection="0"/>
    <xf numFmtId="349" fontId="183" fillId="127" borderId="111"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330" fontId="23" fillId="90" borderId="26">
      <alignment vertical="center"/>
    </xf>
    <xf numFmtId="167" fontId="23" fillId="90" borderId="26">
      <alignment vertical="center"/>
    </xf>
    <xf numFmtId="167" fontId="23" fillId="90" borderId="26">
      <alignment vertical="center"/>
    </xf>
    <xf numFmtId="349" fontId="23" fillId="90" borderId="26">
      <alignment vertical="center"/>
    </xf>
    <xf numFmtId="349" fontId="23" fillId="90" borderId="26">
      <alignment vertical="center"/>
    </xf>
    <xf numFmtId="349" fontId="23" fillId="90" borderId="26">
      <alignment vertical="center"/>
    </xf>
    <xf numFmtId="349" fontId="23" fillId="90" borderId="26">
      <alignment vertical="center"/>
    </xf>
    <xf numFmtId="171" fontId="23" fillId="90" borderId="26">
      <alignment vertical="center"/>
    </xf>
    <xf numFmtId="171" fontId="23" fillId="90" borderId="26">
      <alignment vertical="center"/>
    </xf>
    <xf numFmtId="330" fontId="23" fillId="90" borderId="26">
      <alignment vertical="center"/>
    </xf>
    <xf numFmtId="349" fontId="196" fillId="0" borderId="0"/>
    <xf numFmtId="349" fontId="23" fillId="36" borderId="26">
      <alignment vertical="center"/>
      <protection locked="0"/>
    </xf>
    <xf numFmtId="349" fontId="23" fillId="36" borderId="26">
      <alignment vertical="center"/>
      <protection locked="0"/>
    </xf>
    <xf numFmtId="349" fontId="23" fillId="36" borderId="26">
      <alignment vertical="center"/>
      <protection locked="0"/>
    </xf>
    <xf numFmtId="349" fontId="23" fillId="36" borderId="26">
      <alignment vertical="center"/>
      <protection locked="0"/>
    </xf>
    <xf numFmtId="330" fontId="23" fillId="38" borderId="26">
      <alignment vertical="center"/>
    </xf>
    <xf numFmtId="349" fontId="23" fillId="38" borderId="26">
      <alignment vertical="center"/>
    </xf>
    <xf numFmtId="349" fontId="23" fillId="38" borderId="26">
      <alignment vertical="center"/>
    </xf>
    <xf numFmtId="349" fontId="23" fillId="38" borderId="26">
      <alignment vertical="center"/>
    </xf>
    <xf numFmtId="349" fontId="23" fillId="38" borderId="26">
      <alignment vertical="center"/>
    </xf>
    <xf numFmtId="349" fontId="23" fillId="39" borderId="26">
      <alignment horizontal="right" vertical="center"/>
      <protection locked="0"/>
    </xf>
    <xf numFmtId="349" fontId="23" fillId="39" borderId="26">
      <alignment horizontal="right" vertical="center"/>
      <protection locked="0"/>
    </xf>
    <xf numFmtId="330" fontId="23" fillId="39" borderId="26">
      <alignment horizontal="right" vertical="center"/>
      <protection locked="0"/>
    </xf>
    <xf numFmtId="330" fontId="23" fillId="39" borderId="26">
      <alignment horizontal="right" vertical="center"/>
      <protection locked="0"/>
    </xf>
    <xf numFmtId="4" fontId="52" fillId="18" borderId="107" applyNumberFormat="0" applyProtection="0">
      <alignment vertical="center"/>
    </xf>
    <xf numFmtId="4" fontId="255" fillId="45" borderId="107" applyNumberFormat="0" applyProtection="0">
      <alignment vertical="center"/>
    </xf>
    <xf numFmtId="4" fontId="52" fillId="45" borderId="107" applyNumberFormat="0" applyProtection="0">
      <alignment horizontal="left" vertical="center" indent="1"/>
    </xf>
    <xf numFmtId="349" fontId="256" fillId="18" borderId="112" applyNumberFormat="0" applyProtection="0">
      <alignment horizontal="left" vertical="top" indent="1"/>
    </xf>
    <xf numFmtId="4" fontId="52" fillId="64" borderId="107" applyNumberFormat="0" applyProtection="0">
      <alignment horizontal="left" vertical="center" indent="1"/>
    </xf>
    <xf numFmtId="4" fontId="52" fillId="20" borderId="107" applyNumberFormat="0" applyProtection="0">
      <alignment horizontal="right" vertical="center"/>
    </xf>
    <xf numFmtId="4" fontId="52" fillId="130" borderId="107" applyNumberFormat="0" applyProtection="0">
      <alignment horizontal="right" vertical="center"/>
    </xf>
    <xf numFmtId="4" fontId="52" fillId="22" borderId="113" applyNumberFormat="0" applyProtection="0">
      <alignment horizontal="right" vertical="center"/>
    </xf>
    <xf numFmtId="4" fontId="52" fillId="23" borderId="107" applyNumberFormat="0" applyProtection="0">
      <alignment horizontal="right" vertical="center"/>
    </xf>
    <xf numFmtId="4" fontId="52" fillId="24" borderId="107" applyNumberFormat="0" applyProtection="0">
      <alignment horizontal="right" vertical="center"/>
    </xf>
    <xf numFmtId="4" fontId="52" fillId="25" borderId="107" applyNumberFormat="0" applyProtection="0">
      <alignment horizontal="right" vertical="center"/>
    </xf>
    <xf numFmtId="4" fontId="52" fillId="26" borderId="107" applyNumberFormat="0" applyProtection="0">
      <alignment horizontal="right" vertical="center"/>
    </xf>
    <xf numFmtId="4" fontId="52" fillId="27" borderId="107" applyNumberFormat="0" applyProtection="0">
      <alignment horizontal="right" vertical="center"/>
    </xf>
    <xf numFmtId="4" fontId="52" fillId="28" borderId="107" applyNumberFormat="0" applyProtection="0">
      <alignment horizontal="right" vertical="center"/>
    </xf>
    <xf numFmtId="4" fontId="52" fillId="29" borderId="113" applyNumberFormat="0" applyProtection="0">
      <alignment horizontal="left" vertical="center" indent="1"/>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19" borderId="107" applyNumberFormat="0" applyProtection="0">
      <alignment horizontal="right" vertical="center"/>
    </xf>
    <xf numFmtId="4" fontId="52" fillId="30" borderId="113" applyNumberFormat="0" applyProtection="0">
      <alignment horizontal="left" vertical="center" indent="1"/>
    </xf>
    <xf numFmtId="4" fontId="52" fillId="19" borderId="113" applyNumberFormat="0" applyProtection="0">
      <alignment horizontal="left" vertical="center" indent="1"/>
    </xf>
    <xf numFmtId="349" fontId="52" fillId="61" borderId="107" applyNumberFormat="0" applyProtection="0">
      <alignment horizontal="left" vertical="center" indent="1"/>
    </xf>
    <xf numFmtId="349" fontId="8" fillId="31" borderId="112" applyNumberFormat="0" applyProtection="0">
      <alignment horizontal="left" vertical="center"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83" borderId="107" applyNumberFormat="0" applyProtection="0">
      <alignment horizontal="left" vertical="center" indent="1"/>
    </xf>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07" applyNumberFormat="0" applyProtection="0">
      <alignment horizontal="left" vertical="center"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8" fillId="30" borderId="112" applyNumberFormat="0" applyProtection="0">
      <alignment horizontal="left" vertical="center"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3" borderId="49" applyNumberFormat="0">
      <protection locked="0"/>
    </xf>
    <xf numFmtId="349" fontId="8" fillId="33" borderId="26"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92" fillId="31" borderId="114" applyBorder="0"/>
    <xf numFmtId="4" fontId="257" fillId="34" borderId="112" applyNumberFormat="0" applyProtection="0">
      <alignment vertical="center"/>
    </xf>
    <xf numFmtId="4" fontId="255" fillId="36" borderId="26" applyNumberFormat="0" applyProtection="0">
      <alignment vertical="center"/>
    </xf>
    <xf numFmtId="4" fontId="257" fillId="61" borderId="112" applyNumberFormat="0" applyProtection="0">
      <alignment horizontal="left" vertical="center" indent="1"/>
    </xf>
    <xf numFmtId="349" fontId="257" fillId="34" borderId="112" applyNumberFormat="0" applyProtection="0">
      <alignment horizontal="left" vertical="top" indent="1"/>
    </xf>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349" fontId="257" fillId="19" borderId="112" applyNumberFormat="0" applyProtection="0">
      <alignment horizontal="left" vertical="top" indent="1"/>
    </xf>
    <xf numFmtId="4" fontId="258" fillId="35" borderId="113" applyNumberFormat="0" applyProtection="0">
      <alignment horizontal="left" vertical="center" indent="1"/>
    </xf>
    <xf numFmtId="349" fontId="52" fillId="109" borderId="26"/>
    <xf numFmtId="4" fontId="259" fillId="33" borderId="107" applyNumberFormat="0" applyProtection="0">
      <alignment horizontal="right" vertical="center"/>
    </xf>
    <xf numFmtId="349" fontId="22" fillId="0" borderId="0" applyNumberFormat="0" applyFill="0" applyBorder="0" applyAlignment="0" applyProtection="0"/>
    <xf numFmtId="349" fontId="8" fillId="0" borderId="0" applyFont="0" applyFill="0" applyBorder="0" applyAlignment="0" applyProtection="0"/>
    <xf numFmtId="37" fontId="63" fillId="0" borderId="115" applyNumberFormat="0"/>
    <xf numFmtId="349" fontId="224" fillId="0" borderId="54" applyNumberFormat="0" applyAlignment="0" applyProtection="0"/>
    <xf numFmtId="349" fontId="22" fillId="0" borderId="0" applyNumberFormat="0" applyFill="0" applyBorder="0" applyAlignment="0" applyProtection="0"/>
    <xf numFmtId="349" fontId="22" fillId="0" borderId="0" applyNumberFormat="0" applyFill="0" applyBorder="0" applyAlignment="0" applyProtection="0"/>
    <xf numFmtId="210" fontId="63" fillId="0" borderId="28" applyFill="0"/>
    <xf numFmtId="349" fontId="14" fillId="0" borderId="116" applyNumberFormat="0" applyFill="0" applyAlignment="0" applyProtection="0"/>
    <xf numFmtId="349" fontId="14" fillId="0" borderId="116" applyNumberFormat="0" applyFill="0" applyAlignment="0" applyProtection="0"/>
    <xf numFmtId="349" fontId="260" fillId="0" borderId="0" applyNumberFormat="0" applyFill="0" applyBorder="0" applyAlignment="0" applyProtection="0"/>
    <xf numFmtId="349" fontId="260" fillId="0" borderId="0" applyNumberFormat="0" applyFill="0" applyBorder="0" applyAlignment="0" applyProtection="0"/>
    <xf numFmtId="349" fontId="8" fillId="34" borderId="0" applyNumberFormat="0" applyFont="0" applyBorder="0" applyAlignment="0" applyProtection="0"/>
    <xf numFmtId="349" fontId="8" fillId="34" borderId="0" applyNumberFormat="0" applyFont="0" applyBorder="0" applyAlignment="0" applyProtection="0"/>
    <xf numFmtId="349" fontId="8" fillId="34" borderId="0" applyNumberFormat="0" applyFont="0" applyBorder="0" applyAlignment="0" applyProtection="0"/>
    <xf numFmtId="349" fontId="8" fillId="34" borderId="0" applyNumberFormat="0" applyFont="0" applyBorder="0" applyAlignment="0" applyProtection="0"/>
    <xf numFmtId="349" fontId="8" fillId="34" borderId="0" applyNumberFormat="0" applyFont="0" applyBorder="0" applyAlignment="0" applyProtection="0"/>
    <xf numFmtId="349" fontId="8" fillId="34" borderId="0" applyNumberFormat="0" applyFont="0" applyBorder="0" applyAlignment="0" applyProtection="0"/>
    <xf numFmtId="349" fontId="8" fillId="34" borderId="0" applyNumberFormat="0" applyFont="0" applyBorder="0" applyAlignment="0" applyProtection="0"/>
    <xf numFmtId="349" fontId="8" fillId="34" borderId="0" applyNumberFormat="0" applyFont="0" applyBorder="0" applyAlignment="0" applyProtection="0"/>
    <xf numFmtId="349" fontId="8" fillId="34" borderId="0" applyNumberFormat="0" applyFont="0" applyBorder="0" applyAlignment="0" applyProtection="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7" fontId="6" fillId="101" borderId="26">
      <alignment vertical="center"/>
    </xf>
    <xf numFmtId="171" fontId="6" fillId="101" borderId="26">
      <alignment vertical="center"/>
    </xf>
    <xf numFmtId="330" fontId="6" fillId="101" borderId="26">
      <alignment vertical="center"/>
    </xf>
    <xf numFmtId="330" fontId="6" fillId="43" borderId="26">
      <alignment vertical="center"/>
    </xf>
    <xf numFmtId="330" fontId="6" fillId="44" borderId="26">
      <alignment horizontal="right" vertical="center"/>
      <protection locked="0"/>
    </xf>
    <xf numFmtId="0" fontId="11" fillId="0" borderId="0"/>
    <xf numFmtId="0" fontId="11" fillId="0" borderId="0"/>
    <xf numFmtId="0" fontId="11" fillId="0" borderId="0"/>
    <xf numFmtId="0" fontId="11" fillId="0" borderId="0"/>
    <xf numFmtId="0" fontId="11" fillId="0" borderId="0"/>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349" fontId="52" fillId="33" borderId="49" applyNumberFormat="0">
      <protection locked="0"/>
    </xf>
    <xf numFmtId="210" fontId="63" fillId="0" borderId="28" applyFill="0"/>
    <xf numFmtId="0" fontId="11" fillId="0" borderId="0"/>
    <xf numFmtId="0" fontId="11" fillId="0" borderId="0"/>
    <xf numFmtId="164" fontId="6" fillId="0" borderId="0" applyFont="0" applyFill="0" applyBorder="0" applyAlignment="0" applyProtection="0"/>
    <xf numFmtId="0" fontId="11" fillId="0" borderId="0"/>
    <xf numFmtId="349" fontId="52" fillId="30" borderId="112" applyNumberFormat="0" applyProtection="0">
      <alignment horizontal="left" vertical="top" indent="1"/>
    </xf>
    <xf numFmtId="349" fontId="52" fillId="30" borderId="107" applyNumberFormat="0" applyProtection="0">
      <alignment horizontal="left" vertical="center"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center" indent="1"/>
    </xf>
    <xf numFmtId="349" fontId="52" fillId="32" borderId="107" applyNumberFormat="0" applyProtection="0">
      <alignment horizontal="left" vertical="center"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center" indent="1"/>
    </xf>
    <xf numFmtId="349" fontId="52" fillId="83" borderId="107"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349" fontId="52" fillId="61" borderId="107" applyNumberFormat="0" applyProtection="0">
      <alignment horizontal="left" vertical="center" indent="1"/>
    </xf>
    <xf numFmtId="4" fontId="52" fillId="19" borderId="113" applyNumberFormat="0" applyProtection="0">
      <alignment horizontal="left" vertical="center" indent="1"/>
    </xf>
    <xf numFmtId="4" fontId="52" fillId="30" borderId="113" applyNumberFormat="0" applyProtection="0">
      <alignment horizontal="left" vertical="center" indent="1"/>
    </xf>
    <xf numFmtId="4" fontId="52" fillId="19" borderId="107" applyNumberFormat="0" applyProtection="0">
      <alignment horizontal="right" vertical="center"/>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29" borderId="113" applyNumberFormat="0" applyProtection="0">
      <alignment horizontal="left" vertical="center" indent="1"/>
    </xf>
    <xf numFmtId="4" fontId="52" fillId="28" borderId="107" applyNumberFormat="0" applyProtection="0">
      <alignment horizontal="right" vertical="center"/>
    </xf>
    <xf numFmtId="4" fontId="52" fillId="27" borderId="107" applyNumberFormat="0" applyProtection="0">
      <alignment horizontal="right" vertical="center"/>
    </xf>
    <xf numFmtId="4" fontId="52" fillId="26" borderId="107" applyNumberFormat="0" applyProtection="0">
      <alignment horizontal="right" vertical="center"/>
    </xf>
    <xf numFmtId="4" fontId="52" fillId="25" borderId="107" applyNumberFormat="0" applyProtection="0">
      <alignment horizontal="right" vertical="center"/>
    </xf>
    <xf numFmtId="4" fontId="52" fillId="24" borderId="107" applyNumberFormat="0" applyProtection="0">
      <alignment horizontal="right" vertical="center"/>
    </xf>
    <xf numFmtId="4" fontId="52" fillId="23" borderId="107" applyNumberFormat="0" applyProtection="0">
      <alignment horizontal="right" vertical="center"/>
    </xf>
    <xf numFmtId="4" fontId="52" fillId="22" borderId="113"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349" fontId="256" fillId="18" borderId="112" applyNumberFormat="0" applyProtection="0">
      <alignment horizontal="left" vertical="top"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349" fontId="183" fillId="127" borderId="111" applyNumberFormat="0" applyAlignment="0" applyProtection="0"/>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253" fillId="127" borderId="107" applyNumberFormat="0" applyAlignment="0" applyProtection="0"/>
    <xf numFmtId="349" fontId="253" fillId="127"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27" fillId="0" borderId="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83" fillId="127" borderId="111" applyNumberFormat="0" applyAlignment="0" applyProtection="0"/>
    <xf numFmtId="349" fontId="183" fillId="127" borderId="111" applyNumberFormat="0" applyAlignment="0" applyProtection="0"/>
    <xf numFmtId="4" fontId="52" fillId="18" borderId="107" applyNumberFormat="0" applyProtection="0">
      <alignment vertical="center"/>
    </xf>
    <xf numFmtId="4" fontId="255" fillId="45" borderId="107" applyNumberFormat="0" applyProtection="0">
      <alignment vertical="center"/>
    </xf>
    <xf numFmtId="4" fontId="52" fillId="45" borderId="107" applyNumberFormat="0" applyProtection="0">
      <alignment horizontal="left" vertical="center" indent="1"/>
    </xf>
    <xf numFmtId="4" fontId="52" fillId="64" borderId="107" applyNumberFormat="0" applyProtection="0">
      <alignment horizontal="left" vertical="center" indent="1"/>
    </xf>
    <xf numFmtId="4" fontId="52" fillId="20" borderId="107" applyNumberFormat="0" applyProtection="0">
      <alignment horizontal="right" vertical="center"/>
    </xf>
    <xf numFmtId="4" fontId="52" fillId="130" borderId="107" applyNumberFormat="0" applyProtection="0">
      <alignment horizontal="right" vertical="center"/>
    </xf>
    <xf numFmtId="4" fontId="52" fillId="25" borderId="107" applyNumberFormat="0" applyProtection="0">
      <alignment horizontal="right" vertical="center"/>
    </xf>
    <xf numFmtId="4" fontId="52" fillId="27" borderId="107" applyNumberFormat="0" applyProtection="0">
      <alignment horizontal="right" vertical="center"/>
    </xf>
    <xf numFmtId="4" fontId="52" fillId="28" borderId="107" applyNumberFormat="0" applyProtection="0">
      <alignment horizontal="right" vertical="center"/>
    </xf>
    <xf numFmtId="4" fontId="52" fillId="19" borderId="107" applyNumberFormat="0" applyProtection="0">
      <alignment horizontal="right" vertical="center"/>
    </xf>
    <xf numFmtId="349" fontId="52" fillId="61" borderId="107" applyNumberFormat="0" applyProtection="0">
      <alignment horizontal="left" vertical="center" indent="1"/>
    </xf>
    <xf numFmtId="4" fontId="52" fillId="18" borderId="107" applyNumberFormat="0" applyProtection="0">
      <alignment vertical="center"/>
    </xf>
    <xf numFmtId="4" fontId="255" fillId="45" borderId="107" applyNumberFormat="0" applyProtection="0">
      <alignment vertical="center"/>
    </xf>
    <xf numFmtId="4" fontId="52" fillId="45" borderId="107" applyNumberFormat="0" applyProtection="0">
      <alignment horizontal="left" vertical="center" indent="1"/>
    </xf>
    <xf numFmtId="349" fontId="256" fillId="18" borderId="112" applyNumberFormat="0" applyProtection="0">
      <alignment horizontal="left" vertical="top" indent="1"/>
    </xf>
    <xf numFmtId="4" fontId="52" fillId="64" borderId="107" applyNumberFormat="0" applyProtection="0">
      <alignment horizontal="left" vertical="center" indent="1"/>
    </xf>
    <xf numFmtId="4" fontId="52" fillId="20" borderId="107" applyNumberFormat="0" applyProtection="0">
      <alignment horizontal="right" vertical="center"/>
    </xf>
    <xf numFmtId="4" fontId="52" fillId="130" borderId="107" applyNumberFormat="0" applyProtection="0">
      <alignment horizontal="right" vertical="center"/>
    </xf>
    <xf numFmtId="4" fontId="52" fillId="22" borderId="113" applyNumberFormat="0" applyProtection="0">
      <alignment horizontal="right" vertical="center"/>
    </xf>
    <xf numFmtId="4" fontId="52" fillId="23" borderId="107" applyNumberFormat="0" applyProtection="0">
      <alignment horizontal="right" vertical="center"/>
    </xf>
    <xf numFmtId="4" fontId="52" fillId="24" borderId="107" applyNumberFormat="0" applyProtection="0">
      <alignment horizontal="right" vertical="center"/>
    </xf>
    <xf numFmtId="4" fontId="52" fillId="25" borderId="107" applyNumberFormat="0" applyProtection="0">
      <alignment horizontal="right" vertical="center"/>
    </xf>
    <xf numFmtId="4" fontId="52" fillId="26" borderId="107" applyNumberFormat="0" applyProtection="0">
      <alignment horizontal="right" vertical="center"/>
    </xf>
    <xf numFmtId="4" fontId="52" fillId="27" borderId="107" applyNumberFormat="0" applyProtection="0">
      <alignment horizontal="right" vertical="center"/>
    </xf>
    <xf numFmtId="4" fontId="52" fillId="28" borderId="107" applyNumberFormat="0" applyProtection="0">
      <alignment horizontal="right" vertical="center"/>
    </xf>
    <xf numFmtId="4" fontId="52" fillId="29" borderId="113" applyNumberFormat="0" applyProtection="0">
      <alignment horizontal="left" vertical="center" indent="1"/>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19" borderId="107" applyNumberFormat="0" applyProtection="0">
      <alignment horizontal="right" vertical="center"/>
    </xf>
    <xf numFmtId="4" fontId="52" fillId="30" borderId="113" applyNumberFormat="0" applyProtection="0">
      <alignment horizontal="left" vertical="center" indent="1"/>
    </xf>
    <xf numFmtId="4" fontId="52" fillId="19" borderId="113" applyNumberFormat="0" applyProtection="0">
      <alignment horizontal="left" vertical="center" indent="1"/>
    </xf>
    <xf numFmtId="349" fontId="52" fillId="61" borderId="107" applyNumberFormat="0" applyProtection="0">
      <alignment horizontal="left" vertical="center" indent="1"/>
    </xf>
    <xf numFmtId="349" fontId="8" fillId="31" borderId="112" applyNumberFormat="0" applyProtection="0">
      <alignment horizontal="left" vertical="center"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83" borderId="107" applyNumberFormat="0" applyProtection="0">
      <alignment horizontal="left" vertical="center" indent="1"/>
    </xf>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07" applyNumberFormat="0" applyProtection="0">
      <alignment horizontal="left" vertical="center"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8" fillId="30" borderId="112" applyNumberFormat="0" applyProtection="0">
      <alignment horizontal="left" vertical="center"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2" borderId="107" applyNumberFormat="0" applyProtection="0">
      <alignment horizontal="left" vertical="center" indent="1"/>
    </xf>
    <xf numFmtId="349" fontId="92" fillId="31" borderId="114" applyBorder="0"/>
    <xf numFmtId="4" fontId="257" fillId="34" borderId="112" applyNumberFormat="0" applyProtection="0">
      <alignment vertical="center"/>
    </xf>
    <xf numFmtId="4" fontId="257" fillId="61" borderId="112" applyNumberFormat="0" applyProtection="0">
      <alignment horizontal="left" vertical="center" indent="1"/>
    </xf>
    <xf numFmtId="349" fontId="257" fillId="34" borderId="112" applyNumberFormat="0" applyProtection="0">
      <alignment horizontal="left" vertical="top" indent="1"/>
    </xf>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349" fontId="257" fillId="19" borderId="112" applyNumberFormat="0" applyProtection="0">
      <alignment horizontal="left" vertical="top" indent="1"/>
    </xf>
    <xf numFmtId="4" fontId="258" fillId="35" borderId="113" applyNumberFormat="0" applyProtection="0">
      <alignment horizontal="left" vertical="center" indent="1"/>
    </xf>
    <xf numFmtId="4" fontId="259" fillId="33" borderId="107" applyNumberFormat="0" applyProtection="0">
      <alignment horizontal="right" vertical="center"/>
    </xf>
    <xf numFmtId="37" fontId="63" fillId="0" borderId="115" applyNumberFormat="0"/>
    <xf numFmtId="349" fontId="14" fillId="0" borderId="116" applyNumberFormat="0" applyFill="0" applyAlignment="0" applyProtection="0"/>
    <xf numFmtId="349" fontId="14" fillId="0" borderId="116" applyNumberFormat="0" applyFill="0" applyAlignment="0" applyProtection="0"/>
    <xf numFmtId="349" fontId="8" fillId="30" borderId="112" applyNumberFormat="0" applyProtection="0">
      <alignment horizontal="left" vertical="center"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253" fillId="127" borderId="107" applyNumberFormat="0" applyAlignment="0" applyProtection="0"/>
    <xf numFmtId="349" fontId="253" fillId="127" borderId="107" applyNumberFormat="0" applyAlignment="0" applyProtection="0"/>
    <xf numFmtId="4" fontId="52" fillId="23" borderId="107" applyNumberFormat="0" applyProtection="0">
      <alignment horizontal="right" vertical="center"/>
    </xf>
    <xf numFmtId="4" fontId="52" fillId="24" borderId="107" applyNumberFormat="0" applyProtection="0">
      <alignment horizontal="right" vertical="center"/>
    </xf>
    <xf numFmtId="349" fontId="52" fillId="83" borderId="107" applyNumberFormat="0" applyProtection="0">
      <alignment horizontal="left" vertical="center" indent="1"/>
    </xf>
    <xf numFmtId="210" fontId="63" fillId="0" borderId="28" applyFill="0"/>
    <xf numFmtId="4" fontId="52" fillId="26" borderId="107" applyNumberFormat="0" applyProtection="0">
      <alignment horizontal="right" vertical="center"/>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92" fillId="31" borderId="114" applyBorder="0"/>
    <xf numFmtId="4" fontId="257" fillId="34" borderId="112" applyNumberFormat="0" applyProtection="0">
      <alignment vertical="center"/>
    </xf>
    <xf numFmtId="4" fontId="257" fillId="61" borderId="112" applyNumberFormat="0" applyProtection="0">
      <alignment horizontal="left" vertical="center" indent="1"/>
    </xf>
    <xf numFmtId="349" fontId="257" fillId="34" borderId="112" applyNumberFormat="0" applyProtection="0">
      <alignment horizontal="left" vertical="top" indent="1"/>
    </xf>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349" fontId="257" fillId="19" borderId="112" applyNumberFormat="0" applyProtection="0">
      <alignment horizontal="left" vertical="top" indent="1"/>
    </xf>
    <xf numFmtId="4" fontId="258" fillId="35" borderId="113" applyNumberFormat="0" applyProtection="0">
      <alignment horizontal="left" vertical="center" indent="1"/>
    </xf>
    <xf numFmtId="4" fontId="259" fillId="33" borderId="107" applyNumberFormat="0" applyProtection="0">
      <alignment horizontal="right" vertical="center"/>
    </xf>
    <xf numFmtId="37" fontId="63" fillId="0" borderId="115" applyNumberFormat="0"/>
    <xf numFmtId="349" fontId="14" fillId="0" borderId="116" applyNumberFormat="0" applyFill="0" applyAlignment="0" applyProtection="0"/>
    <xf numFmtId="349" fontId="14" fillId="0" borderId="116" applyNumberFormat="0" applyFill="0" applyAlignment="0" applyProtection="0"/>
    <xf numFmtId="349" fontId="52" fillId="30" borderId="107" applyNumberFormat="0" applyProtection="0">
      <alignment horizontal="left" vertical="center" indent="1"/>
    </xf>
    <xf numFmtId="349" fontId="253" fillId="127" borderId="107" applyNumberFormat="0" applyAlignment="0" applyProtection="0"/>
    <xf numFmtId="349" fontId="253" fillId="127" borderId="107" applyNumberFormat="0" applyAlignment="0" applyProtection="0"/>
    <xf numFmtId="210" fontId="63" fillId="0" borderId="28" applyFill="0"/>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4" fontId="259" fillId="33" borderId="107" applyNumberFormat="0" applyProtection="0">
      <alignment horizontal="right" vertical="center"/>
    </xf>
    <xf numFmtId="349" fontId="253" fillId="127" borderId="107" applyNumberFormat="0" applyAlignment="0" applyProtection="0"/>
    <xf numFmtId="349" fontId="253" fillId="127"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27" fillId="0" borderId="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83" fillId="127" borderId="111" applyNumberFormat="0" applyAlignment="0" applyProtection="0"/>
    <xf numFmtId="349" fontId="183" fillId="127" borderId="111" applyNumberFormat="0" applyAlignment="0" applyProtection="0"/>
    <xf numFmtId="4" fontId="52" fillId="18" borderId="107" applyNumberFormat="0" applyProtection="0">
      <alignment vertical="center"/>
    </xf>
    <xf numFmtId="4" fontId="255" fillId="45" borderId="107" applyNumberFormat="0" applyProtection="0">
      <alignment vertical="center"/>
    </xf>
    <xf numFmtId="4" fontId="52" fillId="45" borderId="107" applyNumberFormat="0" applyProtection="0">
      <alignment horizontal="left" vertical="center" indent="1"/>
    </xf>
    <xf numFmtId="349" fontId="256" fillId="18" borderId="112" applyNumberFormat="0" applyProtection="0">
      <alignment horizontal="left" vertical="top" indent="1"/>
    </xf>
    <xf numFmtId="4" fontId="52" fillId="64" borderId="107" applyNumberFormat="0" applyProtection="0">
      <alignment horizontal="left" vertical="center" indent="1"/>
    </xf>
    <xf numFmtId="4" fontId="52" fillId="20" borderId="107" applyNumberFormat="0" applyProtection="0">
      <alignment horizontal="right" vertical="center"/>
    </xf>
    <xf numFmtId="4" fontId="52" fillId="130" borderId="107" applyNumberFormat="0" applyProtection="0">
      <alignment horizontal="right" vertical="center"/>
    </xf>
    <xf numFmtId="4" fontId="52" fillId="22" borderId="113" applyNumberFormat="0" applyProtection="0">
      <alignment horizontal="right" vertical="center"/>
    </xf>
    <xf numFmtId="4" fontId="52" fillId="23" borderId="107" applyNumberFormat="0" applyProtection="0">
      <alignment horizontal="right" vertical="center"/>
    </xf>
    <xf numFmtId="4" fontId="52" fillId="24" borderId="107" applyNumberFormat="0" applyProtection="0">
      <alignment horizontal="right" vertical="center"/>
    </xf>
    <xf numFmtId="4" fontId="52" fillId="25" borderId="107" applyNumberFormat="0" applyProtection="0">
      <alignment horizontal="right" vertical="center"/>
    </xf>
    <xf numFmtId="4" fontId="52" fillId="26" borderId="107" applyNumberFormat="0" applyProtection="0">
      <alignment horizontal="right" vertical="center"/>
    </xf>
    <xf numFmtId="4" fontId="52" fillId="27" borderId="107" applyNumberFormat="0" applyProtection="0">
      <alignment horizontal="right" vertical="center"/>
    </xf>
    <xf numFmtId="4" fontId="52" fillId="28" borderId="107" applyNumberFormat="0" applyProtection="0">
      <alignment horizontal="right" vertical="center"/>
    </xf>
    <xf numFmtId="4" fontId="52" fillId="29" borderId="113" applyNumberFormat="0" applyProtection="0">
      <alignment horizontal="left" vertical="center" indent="1"/>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19" borderId="107" applyNumberFormat="0" applyProtection="0">
      <alignment horizontal="right" vertical="center"/>
    </xf>
    <xf numFmtId="4" fontId="52" fillId="30" borderId="113" applyNumberFormat="0" applyProtection="0">
      <alignment horizontal="left" vertical="center" indent="1"/>
    </xf>
    <xf numFmtId="4" fontId="52" fillId="19" borderId="113" applyNumberFormat="0" applyProtection="0">
      <alignment horizontal="left" vertical="center" indent="1"/>
    </xf>
    <xf numFmtId="349" fontId="52" fillId="61" borderId="107" applyNumberFormat="0" applyProtection="0">
      <alignment horizontal="left" vertical="center" indent="1"/>
    </xf>
    <xf numFmtId="349" fontId="8" fillId="31" borderId="112" applyNumberFormat="0" applyProtection="0">
      <alignment horizontal="left" vertical="center"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83" borderId="107" applyNumberFormat="0" applyProtection="0">
      <alignment horizontal="left" vertical="center" indent="1"/>
    </xf>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07" applyNumberFormat="0" applyProtection="0">
      <alignment horizontal="left" vertical="center"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8" fillId="30" borderId="112" applyNumberFormat="0" applyProtection="0">
      <alignment horizontal="left" vertical="center"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92" fillId="31" borderId="114" applyBorder="0"/>
    <xf numFmtId="4" fontId="257" fillId="34" borderId="112" applyNumberFormat="0" applyProtection="0">
      <alignment vertical="center"/>
    </xf>
    <xf numFmtId="4" fontId="257" fillId="61" borderId="112" applyNumberFormat="0" applyProtection="0">
      <alignment horizontal="left" vertical="center" indent="1"/>
    </xf>
    <xf numFmtId="349" fontId="257" fillId="34" borderId="112" applyNumberFormat="0" applyProtection="0">
      <alignment horizontal="left" vertical="top" indent="1"/>
    </xf>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349" fontId="257" fillId="19" borderId="112" applyNumberFormat="0" applyProtection="0">
      <alignment horizontal="left" vertical="top" indent="1"/>
    </xf>
    <xf numFmtId="4" fontId="258" fillId="35" borderId="113" applyNumberFormat="0" applyProtection="0">
      <alignment horizontal="left" vertical="center" indent="1"/>
    </xf>
    <xf numFmtId="4" fontId="259" fillId="33" borderId="107" applyNumberFormat="0" applyProtection="0">
      <alignment horizontal="right" vertical="center"/>
    </xf>
    <xf numFmtId="37" fontId="63" fillId="0" borderId="115" applyNumberFormat="0"/>
    <xf numFmtId="349" fontId="14" fillId="0" borderId="116" applyNumberFormat="0" applyFill="0" applyAlignment="0" applyProtection="0"/>
    <xf numFmtId="349" fontId="14" fillId="0" borderId="116" applyNumberFormat="0" applyFill="0" applyAlignment="0" applyProtection="0"/>
    <xf numFmtId="210" fontId="63" fillId="0" borderId="28" applyFill="0"/>
    <xf numFmtId="349" fontId="27" fillId="0" borderId="0"/>
    <xf numFmtId="349" fontId="52" fillId="30" borderId="112" applyNumberFormat="0" applyProtection="0">
      <alignment horizontal="left" vertical="top" indent="1"/>
    </xf>
    <xf numFmtId="349" fontId="52" fillId="30" borderId="107" applyNumberFormat="0" applyProtection="0">
      <alignment horizontal="left" vertical="center"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center" indent="1"/>
    </xf>
    <xf numFmtId="349" fontId="52" fillId="32" borderId="107" applyNumberFormat="0" applyProtection="0">
      <alignment horizontal="left" vertical="center"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center" indent="1"/>
    </xf>
    <xf numFmtId="349" fontId="52" fillId="83" borderId="107"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349" fontId="52" fillId="61" borderId="107" applyNumberFormat="0" applyProtection="0">
      <alignment horizontal="left" vertical="center" indent="1"/>
    </xf>
    <xf numFmtId="4" fontId="52" fillId="19" borderId="113" applyNumberFormat="0" applyProtection="0">
      <alignment horizontal="left" vertical="center" indent="1"/>
    </xf>
    <xf numFmtId="4" fontId="52" fillId="30" borderId="113" applyNumberFormat="0" applyProtection="0">
      <alignment horizontal="left" vertical="center" indent="1"/>
    </xf>
    <xf numFmtId="4" fontId="52" fillId="19" borderId="107" applyNumberFormat="0" applyProtection="0">
      <alignment horizontal="right" vertical="center"/>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29" borderId="113" applyNumberFormat="0" applyProtection="0">
      <alignment horizontal="left" vertical="center" indent="1"/>
    </xf>
    <xf numFmtId="4" fontId="52" fillId="28" borderId="107" applyNumberFormat="0" applyProtection="0">
      <alignment horizontal="right" vertical="center"/>
    </xf>
    <xf numFmtId="4" fontId="52" fillId="27" borderId="107" applyNumberFormat="0" applyProtection="0">
      <alignment horizontal="right" vertical="center"/>
    </xf>
    <xf numFmtId="4" fontId="52" fillId="26" borderId="107" applyNumberFormat="0" applyProtection="0">
      <alignment horizontal="right" vertical="center"/>
    </xf>
    <xf numFmtId="4" fontId="52" fillId="25" borderId="107" applyNumberFormat="0" applyProtection="0">
      <alignment horizontal="right" vertical="center"/>
    </xf>
    <xf numFmtId="4" fontId="52" fillId="24" borderId="107" applyNumberFormat="0" applyProtection="0">
      <alignment horizontal="right" vertical="center"/>
    </xf>
    <xf numFmtId="4" fontId="52" fillId="23" borderId="107" applyNumberFormat="0" applyProtection="0">
      <alignment horizontal="right" vertical="center"/>
    </xf>
    <xf numFmtId="4" fontId="52" fillId="22" borderId="113"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349" fontId="256" fillId="18" borderId="112" applyNumberFormat="0" applyProtection="0">
      <alignment horizontal="left" vertical="top"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349" fontId="183" fillId="127" borderId="111" applyNumberFormat="0" applyAlignment="0" applyProtection="0"/>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253" fillId="127" borderId="107" applyNumberFormat="0" applyAlignment="0" applyProtection="0"/>
    <xf numFmtId="349" fontId="253" fillId="127"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27" fillId="0" borderId="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83" fillId="127" borderId="111" applyNumberFormat="0" applyAlignment="0" applyProtection="0"/>
    <xf numFmtId="349" fontId="183" fillId="127" borderId="111" applyNumberFormat="0" applyAlignment="0" applyProtection="0"/>
    <xf numFmtId="4" fontId="52" fillId="18" borderId="107" applyNumberFormat="0" applyProtection="0">
      <alignment vertical="center"/>
    </xf>
    <xf numFmtId="4" fontId="255" fillId="45" borderId="107" applyNumberFormat="0" applyProtection="0">
      <alignment vertical="center"/>
    </xf>
    <xf numFmtId="4" fontId="52" fillId="45" borderId="107" applyNumberFormat="0" applyProtection="0">
      <alignment horizontal="left" vertical="center" indent="1"/>
    </xf>
    <xf numFmtId="4" fontId="52" fillId="64" borderId="107" applyNumberFormat="0" applyProtection="0">
      <alignment horizontal="left" vertical="center" indent="1"/>
    </xf>
    <xf numFmtId="4" fontId="52" fillId="20" borderId="107" applyNumberFormat="0" applyProtection="0">
      <alignment horizontal="right" vertical="center"/>
    </xf>
    <xf numFmtId="4" fontId="52" fillId="130" borderId="107" applyNumberFormat="0" applyProtection="0">
      <alignment horizontal="right" vertical="center"/>
    </xf>
    <xf numFmtId="4" fontId="52" fillId="25" borderId="107" applyNumberFormat="0" applyProtection="0">
      <alignment horizontal="right" vertical="center"/>
    </xf>
    <xf numFmtId="4" fontId="52" fillId="27" borderId="107" applyNumberFormat="0" applyProtection="0">
      <alignment horizontal="right" vertical="center"/>
    </xf>
    <xf numFmtId="4" fontId="52" fillId="28" borderId="107" applyNumberFormat="0" applyProtection="0">
      <alignment horizontal="right" vertical="center"/>
    </xf>
    <xf numFmtId="4" fontId="52" fillId="19" borderId="107" applyNumberFormat="0" applyProtection="0">
      <alignment horizontal="right" vertical="center"/>
    </xf>
    <xf numFmtId="349" fontId="52" fillId="61" borderId="107" applyNumberFormat="0" applyProtection="0">
      <alignment horizontal="left" vertical="center" indent="1"/>
    </xf>
    <xf numFmtId="4" fontId="52" fillId="18" borderId="107" applyNumberFormat="0" applyProtection="0">
      <alignment vertical="center"/>
    </xf>
    <xf numFmtId="4" fontId="255" fillId="45" borderId="107" applyNumberFormat="0" applyProtection="0">
      <alignment vertical="center"/>
    </xf>
    <xf numFmtId="4" fontId="52" fillId="45" borderId="107" applyNumberFormat="0" applyProtection="0">
      <alignment horizontal="left" vertical="center" indent="1"/>
    </xf>
    <xf numFmtId="349" fontId="256" fillId="18" borderId="112" applyNumberFormat="0" applyProtection="0">
      <alignment horizontal="left" vertical="top" indent="1"/>
    </xf>
    <xf numFmtId="4" fontId="52" fillId="64" borderId="107" applyNumberFormat="0" applyProtection="0">
      <alignment horizontal="left" vertical="center" indent="1"/>
    </xf>
    <xf numFmtId="4" fontId="52" fillId="20" borderId="107" applyNumberFormat="0" applyProtection="0">
      <alignment horizontal="right" vertical="center"/>
    </xf>
    <xf numFmtId="4" fontId="52" fillId="130" borderId="107" applyNumberFormat="0" applyProtection="0">
      <alignment horizontal="right" vertical="center"/>
    </xf>
    <xf numFmtId="4" fontId="52" fillId="22" borderId="113" applyNumberFormat="0" applyProtection="0">
      <alignment horizontal="right" vertical="center"/>
    </xf>
    <xf numFmtId="4" fontId="52" fillId="23" borderId="107" applyNumberFormat="0" applyProtection="0">
      <alignment horizontal="right" vertical="center"/>
    </xf>
    <xf numFmtId="4" fontId="52" fillId="24" borderId="107" applyNumberFormat="0" applyProtection="0">
      <alignment horizontal="right" vertical="center"/>
    </xf>
    <xf numFmtId="4" fontId="52" fillId="25" borderId="107" applyNumberFormat="0" applyProtection="0">
      <alignment horizontal="right" vertical="center"/>
    </xf>
    <xf numFmtId="4" fontId="52" fillId="26" borderId="107" applyNumberFormat="0" applyProtection="0">
      <alignment horizontal="right" vertical="center"/>
    </xf>
    <xf numFmtId="4" fontId="52" fillId="27" borderId="107" applyNumberFormat="0" applyProtection="0">
      <alignment horizontal="right" vertical="center"/>
    </xf>
    <xf numFmtId="4" fontId="52" fillId="28" borderId="107" applyNumberFormat="0" applyProtection="0">
      <alignment horizontal="right" vertical="center"/>
    </xf>
    <xf numFmtId="4" fontId="52" fillId="29" borderId="113" applyNumberFormat="0" applyProtection="0">
      <alignment horizontal="left" vertical="center" indent="1"/>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19" borderId="107" applyNumberFormat="0" applyProtection="0">
      <alignment horizontal="right" vertical="center"/>
    </xf>
    <xf numFmtId="4" fontId="52" fillId="30" borderId="113" applyNumberFormat="0" applyProtection="0">
      <alignment horizontal="left" vertical="center" indent="1"/>
    </xf>
    <xf numFmtId="4" fontId="52" fillId="19" borderId="113" applyNumberFormat="0" applyProtection="0">
      <alignment horizontal="left" vertical="center" indent="1"/>
    </xf>
    <xf numFmtId="349" fontId="52" fillId="61" borderId="107" applyNumberFormat="0" applyProtection="0">
      <alignment horizontal="left" vertical="center" indent="1"/>
    </xf>
    <xf numFmtId="349" fontId="8" fillId="31" borderId="112" applyNumberFormat="0" applyProtection="0">
      <alignment horizontal="left" vertical="center"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83" borderId="107" applyNumberFormat="0" applyProtection="0">
      <alignment horizontal="left" vertical="center" indent="1"/>
    </xf>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07" applyNumberFormat="0" applyProtection="0">
      <alignment horizontal="left" vertical="center"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8" fillId="30" borderId="112" applyNumberFormat="0" applyProtection="0">
      <alignment horizontal="left" vertical="center"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2" borderId="107" applyNumberFormat="0" applyProtection="0">
      <alignment horizontal="left" vertical="center" indent="1"/>
    </xf>
    <xf numFmtId="349" fontId="92" fillId="31" borderId="114" applyBorder="0"/>
    <xf numFmtId="4" fontId="257" fillId="34" borderId="112" applyNumberFormat="0" applyProtection="0">
      <alignment vertical="center"/>
    </xf>
    <xf numFmtId="4" fontId="257" fillId="61" borderId="112" applyNumberFormat="0" applyProtection="0">
      <alignment horizontal="left" vertical="center" indent="1"/>
    </xf>
    <xf numFmtId="349" fontId="257" fillId="34" borderId="112" applyNumberFormat="0" applyProtection="0">
      <alignment horizontal="left" vertical="top" indent="1"/>
    </xf>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349" fontId="257" fillId="19" borderId="112" applyNumberFormat="0" applyProtection="0">
      <alignment horizontal="left" vertical="top" indent="1"/>
    </xf>
    <xf numFmtId="4" fontId="258" fillId="35" borderId="113" applyNumberFormat="0" applyProtection="0">
      <alignment horizontal="left" vertical="center" indent="1"/>
    </xf>
    <xf numFmtId="4" fontId="259" fillId="33" borderId="107" applyNumberFormat="0" applyProtection="0">
      <alignment horizontal="right" vertical="center"/>
    </xf>
    <xf numFmtId="37" fontId="63" fillId="0" borderId="115" applyNumberFormat="0"/>
    <xf numFmtId="349" fontId="14" fillId="0" borderId="116" applyNumberFormat="0" applyFill="0" applyAlignment="0" applyProtection="0"/>
    <xf numFmtId="349" fontId="14" fillId="0" borderId="116" applyNumberFormat="0" applyFill="0" applyAlignment="0" applyProtection="0"/>
    <xf numFmtId="349" fontId="8" fillId="30" borderId="112" applyNumberFormat="0" applyProtection="0">
      <alignment horizontal="left" vertical="center"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253" fillId="127" borderId="107" applyNumberFormat="0" applyAlignment="0" applyProtection="0"/>
    <xf numFmtId="349" fontId="253" fillId="127" borderId="107" applyNumberFormat="0" applyAlignment="0" applyProtection="0"/>
    <xf numFmtId="4" fontId="52" fillId="23" borderId="107" applyNumberFormat="0" applyProtection="0">
      <alignment horizontal="right" vertical="center"/>
    </xf>
    <xf numFmtId="4" fontId="52" fillId="24" borderId="107" applyNumberFormat="0" applyProtection="0">
      <alignment horizontal="right" vertical="center"/>
    </xf>
    <xf numFmtId="349" fontId="52" fillId="83" borderId="107" applyNumberFormat="0" applyProtection="0">
      <alignment horizontal="left" vertical="center" indent="1"/>
    </xf>
    <xf numFmtId="210" fontId="63" fillId="0" borderId="28" applyFill="0"/>
    <xf numFmtId="4" fontId="52" fillId="26" borderId="107" applyNumberFormat="0" applyProtection="0">
      <alignment horizontal="right" vertical="center"/>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92" fillId="31" borderId="114" applyBorder="0"/>
    <xf numFmtId="4" fontId="257" fillId="34" borderId="112" applyNumberFormat="0" applyProtection="0">
      <alignment vertical="center"/>
    </xf>
    <xf numFmtId="4" fontId="257" fillId="61" borderId="112" applyNumberFormat="0" applyProtection="0">
      <alignment horizontal="left" vertical="center" indent="1"/>
    </xf>
    <xf numFmtId="349" fontId="257" fillId="34" borderId="112" applyNumberFormat="0" applyProtection="0">
      <alignment horizontal="left" vertical="top" indent="1"/>
    </xf>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349" fontId="257" fillId="19" borderId="112" applyNumberFormat="0" applyProtection="0">
      <alignment horizontal="left" vertical="top" indent="1"/>
    </xf>
    <xf numFmtId="4" fontId="258" fillId="35" borderId="113" applyNumberFormat="0" applyProtection="0">
      <alignment horizontal="left" vertical="center" indent="1"/>
    </xf>
    <xf numFmtId="4" fontId="259" fillId="33" borderId="107" applyNumberFormat="0" applyProtection="0">
      <alignment horizontal="right" vertical="center"/>
    </xf>
    <xf numFmtId="37" fontId="63" fillId="0" borderId="115" applyNumberFormat="0"/>
    <xf numFmtId="349" fontId="14" fillId="0" borderId="116" applyNumberFormat="0" applyFill="0" applyAlignment="0" applyProtection="0"/>
    <xf numFmtId="349" fontId="14" fillId="0" borderId="116" applyNumberFormat="0" applyFill="0" applyAlignment="0" applyProtection="0"/>
    <xf numFmtId="349" fontId="52" fillId="30" borderId="107" applyNumberFormat="0" applyProtection="0">
      <alignment horizontal="left" vertical="center" indent="1"/>
    </xf>
    <xf numFmtId="349" fontId="253" fillId="127" borderId="107" applyNumberFormat="0" applyAlignment="0" applyProtection="0"/>
    <xf numFmtId="349" fontId="253" fillId="127" borderId="107" applyNumberFormat="0" applyAlignment="0" applyProtection="0"/>
    <xf numFmtId="210" fontId="63" fillId="0" borderId="28" applyFill="0"/>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4" fontId="259" fillId="33" borderId="107" applyNumberFormat="0" applyProtection="0">
      <alignment horizontal="right" vertical="center"/>
    </xf>
    <xf numFmtId="349" fontId="52" fillId="32" borderId="112" applyNumberFormat="0" applyProtection="0">
      <alignment horizontal="left" vertical="top" indent="1"/>
    </xf>
    <xf numFmtId="4" fontId="257" fillId="61" borderId="112" applyNumberFormat="0" applyProtection="0">
      <alignment horizontal="left" vertical="center" indent="1"/>
    </xf>
    <xf numFmtId="4" fontId="257" fillId="34" borderId="112" applyNumberFormat="0" applyProtection="0">
      <alignment vertical="center"/>
    </xf>
    <xf numFmtId="349" fontId="8" fillId="32" borderId="112" applyNumberFormat="0" applyProtection="0">
      <alignment horizontal="left" vertical="top" indent="1"/>
    </xf>
    <xf numFmtId="349" fontId="52" fillId="32" borderId="107" applyNumberFormat="0" applyProtection="0">
      <alignment horizontal="left" vertical="center" indent="1"/>
    </xf>
    <xf numFmtId="349" fontId="52" fillId="31" borderId="112" applyNumberFormat="0" applyProtection="0">
      <alignment horizontal="left" vertical="top" indent="1"/>
    </xf>
    <xf numFmtId="349" fontId="52" fillId="13" borderId="107" applyNumberFormat="0" applyFont="0" applyAlignment="0" applyProtection="0"/>
    <xf numFmtId="349" fontId="52" fillId="30" borderId="112" applyNumberFormat="0" applyProtection="0">
      <alignment horizontal="left" vertical="top" indent="1"/>
    </xf>
    <xf numFmtId="349" fontId="52" fillId="19" borderId="112" applyNumberFormat="0" applyProtection="0">
      <alignment horizontal="left" vertical="top" indent="1"/>
    </xf>
    <xf numFmtId="349" fontId="253" fillId="127" borderId="107" applyNumberFormat="0" applyAlignment="0" applyProtection="0"/>
    <xf numFmtId="349" fontId="14" fillId="0" borderId="116" applyNumberFormat="0" applyFill="0" applyAlignment="0" applyProtection="0"/>
    <xf numFmtId="349" fontId="14" fillId="0" borderId="116" applyNumberFormat="0" applyFill="0" applyAlignment="0" applyProtection="0"/>
    <xf numFmtId="37" fontId="63" fillId="0" borderId="115" applyNumberFormat="0"/>
    <xf numFmtId="4" fontId="259" fillId="33" borderId="107" applyNumberFormat="0" applyProtection="0">
      <alignment horizontal="right" vertical="center"/>
    </xf>
    <xf numFmtId="4" fontId="258" fillId="35" borderId="113" applyNumberFormat="0" applyProtection="0">
      <alignment horizontal="left" vertical="center" indent="1"/>
    </xf>
    <xf numFmtId="349" fontId="257" fillId="19" borderId="112" applyNumberFormat="0" applyProtection="0">
      <alignment horizontal="left" vertical="top" indent="1"/>
    </xf>
    <xf numFmtId="4" fontId="52" fillId="64" borderId="107" applyNumberFormat="0" applyProtection="0">
      <alignment horizontal="left" vertical="center" indent="1"/>
    </xf>
    <xf numFmtId="4" fontId="255" fillId="50" borderId="107" applyNumberFormat="0" applyProtection="0">
      <alignment horizontal="right" vertical="center"/>
    </xf>
    <xf numFmtId="4" fontId="52" fillId="0" borderId="107" applyNumberFormat="0" applyProtection="0">
      <alignment horizontal="right" vertical="center"/>
    </xf>
    <xf numFmtId="349" fontId="257" fillId="34"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center"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center" indent="1"/>
    </xf>
    <xf numFmtId="349" fontId="52" fillId="83" borderId="107"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349" fontId="52" fillId="61" borderId="107" applyNumberFormat="0" applyProtection="0">
      <alignment horizontal="left" vertical="center" indent="1"/>
    </xf>
    <xf numFmtId="4" fontId="52" fillId="19" borderId="113" applyNumberFormat="0" applyProtection="0">
      <alignment horizontal="left" vertical="center" indent="1"/>
    </xf>
    <xf numFmtId="4" fontId="52" fillId="30" borderId="113" applyNumberFormat="0" applyProtection="0">
      <alignment horizontal="left" vertical="center" indent="1"/>
    </xf>
    <xf numFmtId="4" fontId="52" fillId="19" borderId="107" applyNumberFormat="0" applyProtection="0">
      <alignment horizontal="right" vertical="center"/>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29" borderId="113" applyNumberFormat="0" applyProtection="0">
      <alignment horizontal="left" vertical="center" indent="1"/>
    </xf>
    <xf numFmtId="4" fontId="52" fillId="28" borderId="107" applyNumberFormat="0" applyProtection="0">
      <alignment horizontal="right" vertical="center"/>
    </xf>
    <xf numFmtId="4" fontId="52" fillId="27" borderId="107" applyNumberFormat="0" applyProtection="0">
      <alignment horizontal="right" vertical="center"/>
    </xf>
    <xf numFmtId="4" fontId="52" fillId="26" borderId="107" applyNumberFormat="0" applyProtection="0">
      <alignment horizontal="right" vertical="center"/>
    </xf>
    <xf numFmtId="4" fontId="52" fillId="25" borderId="107" applyNumberFormat="0" applyProtection="0">
      <alignment horizontal="right" vertical="center"/>
    </xf>
    <xf numFmtId="4" fontId="52" fillId="24" borderId="107" applyNumberFormat="0" applyProtection="0">
      <alignment horizontal="right" vertical="center"/>
    </xf>
    <xf numFmtId="4" fontId="52" fillId="23" borderId="107" applyNumberFormat="0" applyProtection="0">
      <alignment horizontal="right" vertical="center"/>
    </xf>
    <xf numFmtId="4" fontId="52" fillId="22" borderId="113"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349" fontId="256" fillId="18" borderId="112" applyNumberFormat="0" applyProtection="0">
      <alignment horizontal="left" vertical="top"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349" fontId="183" fillId="127" borderId="111" applyNumberFormat="0" applyAlignment="0" applyProtection="0"/>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27" fillId="0" borderId="0"/>
    <xf numFmtId="349" fontId="141" fillId="14" borderId="107" applyNumberFormat="0" applyAlignment="0" applyProtection="0"/>
    <xf numFmtId="349" fontId="141" fillId="14" borderId="107" applyNumberFormat="0" applyAlignment="0" applyProtection="0"/>
    <xf numFmtId="349" fontId="253" fillId="127" borderId="107" applyNumberFormat="0" applyAlignment="0" applyProtection="0"/>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8" fillId="19" borderId="112" applyNumberFormat="0" applyProtection="0">
      <alignment horizontal="left" vertical="top" indent="1"/>
    </xf>
    <xf numFmtId="349" fontId="52" fillId="31" borderId="112" applyNumberFormat="0" applyProtection="0">
      <alignment horizontal="left" vertical="top" indent="1"/>
    </xf>
    <xf numFmtId="349" fontId="92" fillId="31" borderId="114" applyBorder="0"/>
    <xf numFmtId="349" fontId="52" fillId="13" borderId="107" applyNumberFormat="0" applyFont="0" applyAlignment="0" applyProtection="0"/>
    <xf numFmtId="349" fontId="52" fillId="30" borderId="112" applyNumberFormat="0" applyProtection="0">
      <alignment horizontal="left" vertical="top" indent="1"/>
    </xf>
    <xf numFmtId="349" fontId="8" fillId="30" borderId="112" applyNumberFormat="0" applyProtection="0">
      <alignment horizontal="left" vertical="center"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257" fillId="19" borderId="112" applyNumberFormat="0" applyProtection="0">
      <alignment horizontal="left" vertical="top" indent="1"/>
    </xf>
    <xf numFmtId="349" fontId="52" fillId="30" borderId="107" applyNumberFormat="0" applyProtection="0">
      <alignment horizontal="left" vertical="center" indent="1"/>
    </xf>
    <xf numFmtId="210" fontId="63" fillId="0" borderId="28" applyFill="0"/>
    <xf numFmtId="349" fontId="253" fillId="127" borderId="107" applyNumberFormat="0" applyAlignment="0" applyProtection="0"/>
    <xf numFmtId="349" fontId="253" fillId="127" borderId="107" applyNumberFormat="0" applyAlignment="0" applyProtection="0"/>
    <xf numFmtId="349" fontId="52" fillId="31" borderId="112" applyNumberFormat="0" applyProtection="0">
      <alignment horizontal="left" vertical="top" indent="1"/>
    </xf>
    <xf numFmtId="349" fontId="52" fillId="30" borderId="112" applyNumberFormat="0" applyProtection="0">
      <alignment horizontal="left" vertical="top" indent="1"/>
    </xf>
    <xf numFmtId="164" fontId="6" fillId="0" borderId="0" applyFont="0" applyFill="0" applyBorder="0" applyAlignment="0" applyProtection="0"/>
    <xf numFmtId="349" fontId="52" fillId="30" borderId="112" applyNumberFormat="0" applyProtection="0">
      <alignment horizontal="left" vertical="top" indent="1"/>
    </xf>
    <xf numFmtId="164" fontId="5" fillId="0" borderId="0" applyFont="0" applyFill="0" applyBorder="0" applyAlignment="0" applyProtection="0"/>
    <xf numFmtId="349" fontId="92" fillId="31" borderId="114" applyBorder="0"/>
    <xf numFmtId="4" fontId="52" fillId="24" borderId="107" applyNumberFormat="0" applyProtection="0">
      <alignment horizontal="right" vertical="center"/>
    </xf>
    <xf numFmtId="349" fontId="52" fillId="13" borderId="107" applyNumberFormat="0" applyFont="0" applyAlignment="0" applyProtection="0"/>
    <xf numFmtId="4" fontId="52" fillId="19" borderId="113" applyNumberFormat="0" applyProtection="0">
      <alignment horizontal="left" vertical="center" indent="1"/>
    </xf>
    <xf numFmtId="4" fontId="52" fillId="25" borderId="107" applyNumberFormat="0" applyProtection="0">
      <alignment horizontal="right" vertical="center"/>
    </xf>
    <xf numFmtId="349" fontId="52" fillId="61" borderId="107" applyNumberFormat="0" applyProtection="0">
      <alignment horizontal="left" vertical="center" indent="1"/>
    </xf>
    <xf numFmtId="4" fontId="258" fillId="35" borderId="113" applyNumberFormat="0" applyProtection="0">
      <alignment horizontal="left" vertical="center" indent="1"/>
    </xf>
    <xf numFmtId="349" fontId="257" fillId="19" borderId="112" applyNumberFormat="0" applyProtection="0">
      <alignment horizontal="left" vertical="top" indent="1"/>
    </xf>
    <xf numFmtId="4" fontId="255" fillId="50" borderId="107" applyNumberFormat="0" applyProtection="0">
      <alignment horizontal="right" vertical="center"/>
    </xf>
    <xf numFmtId="4" fontId="52" fillId="0" borderId="107" applyNumberFormat="0" applyProtection="0">
      <alignment horizontal="right" vertical="center"/>
    </xf>
    <xf numFmtId="349" fontId="257" fillId="34" borderId="112" applyNumberFormat="0" applyProtection="0">
      <alignment horizontal="left" vertical="top" indent="1"/>
    </xf>
    <xf numFmtId="4" fontId="257" fillId="34" borderId="112" applyNumberFormat="0" applyProtection="0">
      <alignment vertical="center"/>
    </xf>
    <xf numFmtId="349" fontId="92" fillId="31" borderId="114" applyBorder="0"/>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210" fontId="63" fillId="0" borderId="28" applyFill="0"/>
    <xf numFmtId="349" fontId="52" fillId="83" borderId="107" applyNumberFormat="0" applyProtection="0">
      <alignment horizontal="left" vertical="center" indent="1"/>
    </xf>
    <xf numFmtId="4" fontId="52" fillId="23" borderId="107" applyNumberFormat="0" applyProtection="0">
      <alignment horizontal="right" vertical="center"/>
    </xf>
    <xf numFmtId="349" fontId="253" fillId="127" borderId="107" applyNumberFormat="0" applyAlignment="0" applyProtection="0"/>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8" fillId="30" borderId="112" applyNumberFormat="0" applyProtection="0">
      <alignment horizontal="left" vertical="center" indent="1"/>
    </xf>
    <xf numFmtId="349" fontId="14" fillId="0" borderId="116" applyNumberFormat="0" applyFill="0" applyAlignment="0" applyProtection="0"/>
    <xf numFmtId="349" fontId="14" fillId="0" borderId="116" applyNumberFormat="0" applyFill="0" applyAlignment="0" applyProtection="0"/>
    <xf numFmtId="37" fontId="63" fillId="0" borderId="115" applyNumberFormat="0"/>
    <xf numFmtId="4" fontId="259" fillId="33" borderId="107" applyNumberFormat="0" applyProtection="0">
      <alignment horizontal="right" vertical="center"/>
    </xf>
    <xf numFmtId="4" fontId="258" fillId="35" borderId="113" applyNumberFormat="0" applyProtection="0">
      <alignment horizontal="left" vertical="center" indent="1"/>
    </xf>
    <xf numFmtId="349" fontId="257" fillId="19" borderId="112" applyNumberFormat="0" applyProtection="0">
      <alignment horizontal="left" vertical="top" indent="1"/>
    </xf>
    <xf numFmtId="4" fontId="52" fillId="64" borderId="107" applyNumberFormat="0" applyProtection="0">
      <alignment horizontal="left" vertical="center" indent="1"/>
    </xf>
    <xf numFmtId="4" fontId="255" fillId="50" borderId="107" applyNumberFormat="0" applyProtection="0">
      <alignment horizontal="right" vertical="center"/>
    </xf>
    <xf numFmtId="4" fontId="52" fillId="0" borderId="107" applyNumberFormat="0" applyProtection="0">
      <alignment horizontal="right" vertical="center"/>
    </xf>
    <xf numFmtId="349" fontId="257" fillId="34" borderId="112" applyNumberFormat="0" applyProtection="0">
      <alignment horizontal="left" vertical="top" indent="1"/>
    </xf>
    <xf numFmtId="4" fontId="257" fillId="61" borderId="112" applyNumberFormat="0" applyProtection="0">
      <alignment horizontal="left" vertical="center" indent="1"/>
    </xf>
    <xf numFmtId="4" fontId="257" fillId="34" borderId="112" applyNumberFormat="0" applyProtection="0">
      <alignment vertical="center"/>
    </xf>
    <xf numFmtId="349" fontId="92" fillId="31" borderId="114" applyBorder="0"/>
    <xf numFmtId="349" fontId="52" fillId="32" borderId="107" applyNumberFormat="0" applyProtection="0">
      <alignment horizontal="left" vertical="center"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center" indent="1"/>
    </xf>
    <xf numFmtId="349" fontId="52" fillId="30" borderId="107" applyNumberFormat="0" applyProtection="0">
      <alignment horizontal="left" vertical="center"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center" indent="1"/>
    </xf>
    <xf numFmtId="349" fontId="52" fillId="32" borderId="107" applyNumberFormat="0" applyProtection="0">
      <alignment horizontal="left" vertical="center"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center" indent="1"/>
    </xf>
    <xf numFmtId="349" fontId="52" fillId="83" borderId="107"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4" fontId="52" fillId="30" borderId="113" applyNumberFormat="0" applyProtection="0">
      <alignment horizontal="left" vertical="center" indent="1"/>
    </xf>
    <xf numFmtId="4" fontId="52" fillId="19" borderId="107" applyNumberFormat="0" applyProtection="0">
      <alignment horizontal="right" vertical="center"/>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29" borderId="113" applyNumberFormat="0" applyProtection="0">
      <alignment horizontal="left" vertical="center" indent="1"/>
    </xf>
    <xf numFmtId="4" fontId="52" fillId="28" borderId="107" applyNumberFormat="0" applyProtection="0">
      <alignment horizontal="right" vertical="center"/>
    </xf>
    <xf numFmtId="4" fontId="52" fillId="27" borderId="107" applyNumberFormat="0" applyProtection="0">
      <alignment horizontal="right" vertical="center"/>
    </xf>
    <xf numFmtId="4" fontId="52" fillId="26" borderId="107" applyNumberFormat="0" applyProtection="0">
      <alignment horizontal="right" vertical="center"/>
    </xf>
    <xf numFmtId="4" fontId="52" fillId="25" borderId="107" applyNumberFormat="0" applyProtection="0">
      <alignment horizontal="right" vertical="center"/>
    </xf>
    <xf numFmtId="4" fontId="52" fillId="22" borderId="113"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349" fontId="256" fillId="18" borderId="112" applyNumberFormat="0" applyProtection="0">
      <alignment horizontal="left" vertical="top"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349" fontId="183" fillId="127" borderId="111" applyNumberFormat="0" applyAlignment="0" applyProtection="0"/>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253" fillId="127" borderId="107" applyNumberFormat="0" applyAlignment="0" applyProtection="0"/>
    <xf numFmtId="349" fontId="253" fillId="127" borderId="107"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83" fillId="127" borderId="111" applyNumberFormat="0" applyAlignment="0" applyProtection="0"/>
    <xf numFmtId="349" fontId="183" fillId="127" borderId="111" applyNumberFormat="0" applyAlignment="0" applyProtection="0"/>
    <xf numFmtId="4" fontId="52" fillId="18" borderId="107" applyNumberFormat="0" applyProtection="0">
      <alignment vertical="center"/>
    </xf>
    <xf numFmtId="4" fontId="255" fillId="45" borderId="107" applyNumberFormat="0" applyProtection="0">
      <alignment vertical="center"/>
    </xf>
    <xf numFmtId="4" fontId="52" fillId="45" borderId="107" applyNumberFormat="0" applyProtection="0">
      <alignment horizontal="left" vertical="center" indent="1"/>
    </xf>
    <xf numFmtId="349" fontId="256" fillId="18" borderId="112" applyNumberFormat="0" applyProtection="0">
      <alignment horizontal="left" vertical="top" indent="1"/>
    </xf>
    <xf numFmtId="4" fontId="52" fillId="64" borderId="107" applyNumberFormat="0" applyProtection="0">
      <alignment horizontal="left" vertical="center" indent="1"/>
    </xf>
    <xf numFmtId="4" fontId="52" fillId="20" borderId="107" applyNumberFormat="0" applyProtection="0">
      <alignment horizontal="right" vertical="center"/>
    </xf>
    <xf numFmtId="4" fontId="52" fillId="130" borderId="107" applyNumberFormat="0" applyProtection="0">
      <alignment horizontal="right" vertical="center"/>
    </xf>
    <xf numFmtId="4" fontId="52" fillId="22" borderId="113" applyNumberFormat="0" applyProtection="0">
      <alignment horizontal="right" vertical="center"/>
    </xf>
    <xf numFmtId="4" fontId="52" fillId="23" borderId="107" applyNumberFormat="0" applyProtection="0">
      <alignment horizontal="right" vertical="center"/>
    </xf>
    <xf numFmtId="4" fontId="52" fillId="24" borderId="107" applyNumberFormat="0" applyProtection="0">
      <alignment horizontal="right" vertical="center"/>
    </xf>
    <xf numFmtId="4" fontId="52" fillId="25" borderId="107" applyNumberFormat="0" applyProtection="0">
      <alignment horizontal="right" vertical="center"/>
    </xf>
    <xf numFmtId="4" fontId="52" fillId="26" borderId="107" applyNumberFormat="0" applyProtection="0">
      <alignment horizontal="right" vertical="center"/>
    </xf>
    <xf numFmtId="4" fontId="52" fillId="27" borderId="107" applyNumberFormat="0" applyProtection="0">
      <alignment horizontal="right" vertical="center"/>
    </xf>
    <xf numFmtId="4" fontId="52" fillId="28" borderId="107" applyNumberFormat="0" applyProtection="0">
      <alignment horizontal="right" vertical="center"/>
    </xf>
    <xf numFmtId="4" fontId="52" fillId="29" borderId="113" applyNumberFormat="0" applyProtection="0">
      <alignment horizontal="left" vertical="center" indent="1"/>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19" borderId="107" applyNumberFormat="0" applyProtection="0">
      <alignment horizontal="right" vertical="center"/>
    </xf>
    <xf numFmtId="4" fontId="52" fillId="30" borderId="113" applyNumberFormat="0" applyProtection="0">
      <alignment horizontal="left" vertical="center" indent="1"/>
    </xf>
    <xf numFmtId="4" fontId="52" fillId="19" borderId="113" applyNumberFormat="0" applyProtection="0">
      <alignment horizontal="left" vertical="center" indent="1"/>
    </xf>
    <xf numFmtId="349" fontId="52" fillId="61" borderId="107" applyNumberFormat="0" applyProtection="0">
      <alignment horizontal="left" vertical="center" indent="1"/>
    </xf>
    <xf numFmtId="349" fontId="8" fillId="31" borderId="112" applyNumberFormat="0" applyProtection="0">
      <alignment horizontal="left" vertical="center"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83" borderId="107" applyNumberFormat="0" applyProtection="0">
      <alignment horizontal="left" vertical="center" indent="1"/>
    </xf>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07" applyNumberFormat="0" applyProtection="0">
      <alignment horizontal="left" vertical="center"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257" fillId="19"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center" indent="1"/>
    </xf>
    <xf numFmtId="349" fontId="52" fillId="30" borderId="107" applyNumberFormat="0" applyProtection="0">
      <alignment horizontal="left" vertical="center"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center" indent="1"/>
    </xf>
    <xf numFmtId="349" fontId="52" fillId="32" borderId="107" applyNumberFormat="0" applyProtection="0">
      <alignment horizontal="left" vertical="center" indent="1"/>
    </xf>
    <xf numFmtId="164" fontId="12" fillId="0" borderId="0" applyFont="0" applyFill="0" applyBorder="0" applyAlignment="0" applyProtection="0"/>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49" fontId="8" fillId="19" borderId="112" applyNumberFormat="0" applyProtection="0">
      <alignment horizontal="left" vertical="center" indent="1"/>
    </xf>
    <xf numFmtId="349" fontId="52" fillId="83" borderId="107"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164" fontId="12"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49" fontId="52" fillId="31" borderId="112" applyNumberFormat="0" applyProtection="0">
      <alignment horizontal="left" vertical="top" indent="1"/>
    </xf>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349" fontId="52" fillId="61" borderId="107" applyNumberFormat="0" applyProtection="0">
      <alignment horizontal="left" vertical="center" indent="1"/>
    </xf>
    <xf numFmtId="4" fontId="52" fillId="19" borderId="113" applyNumberFormat="0" applyProtection="0">
      <alignment horizontal="left" vertical="center" indent="1"/>
    </xf>
    <xf numFmtId="4" fontId="52" fillId="30" borderId="113" applyNumberFormat="0" applyProtection="0">
      <alignment horizontal="left" vertical="center" indent="1"/>
    </xf>
    <xf numFmtId="4" fontId="52" fillId="19" borderId="107" applyNumberFormat="0" applyProtection="0">
      <alignment horizontal="right" vertical="center"/>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29" borderId="113" applyNumberFormat="0" applyProtection="0">
      <alignment horizontal="left" vertical="center" indent="1"/>
    </xf>
    <xf numFmtId="4" fontId="52" fillId="28" borderId="107" applyNumberFormat="0" applyProtection="0">
      <alignment horizontal="right" vertical="center"/>
    </xf>
    <xf numFmtId="4" fontId="52" fillId="27" borderId="107" applyNumberFormat="0" applyProtection="0">
      <alignment horizontal="right" vertical="center"/>
    </xf>
    <xf numFmtId="4" fontId="52" fillId="26" borderId="107" applyNumberFormat="0" applyProtection="0">
      <alignment horizontal="right" vertical="center"/>
    </xf>
    <xf numFmtId="4" fontId="52" fillId="25" borderId="107" applyNumberFormat="0" applyProtection="0">
      <alignment horizontal="right" vertical="center"/>
    </xf>
    <xf numFmtId="4" fontId="52" fillId="24" borderId="107" applyNumberFormat="0" applyProtection="0">
      <alignment horizontal="right" vertical="center"/>
    </xf>
    <xf numFmtId="4" fontId="52" fillId="23" borderId="107" applyNumberFormat="0" applyProtection="0">
      <alignment horizontal="right" vertical="center"/>
    </xf>
    <xf numFmtId="4" fontId="52" fillId="22" borderId="113"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349" fontId="256" fillId="18" borderId="112" applyNumberFormat="0" applyProtection="0">
      <alignment horizontal="left" vertical="top"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349" fontId="183" fillId="127" borderId="111" applyNumberFormat="0" applyAlignment="0" applyProtection="0"/>
    <xf numFmtId="349" fontId="183" fillId="127" borderId="111" applyNumberFormat="0" applyAlignment="0" applyProtection="0"/>
    <xf numFmtId="349" fontId="52" fillId="13" borderId="107" applyNumberFormat="0" applyFont="0" applyAlignment="0" applyProtection="0"/>
    <xf numFmtId="4" fontId="52" fillId="0" borderId="107" applyNumberFormat="0" applyProtection="0">
      <alignment horizontal="right" vertical="center"/>
    </xf>
    <xf numFmtId="349" fontId="14" fillId="0" borderId="116" applyNumberFormat="0" applyFill="0" applyAlignment="0" applyProtection="0"/>
    <xf numFmtId="349" fontId="14" fillId="0" borderId="116" applyNumberFormat="0" applyFill="0" applyAlignment="0" applyProtection="0"/>
    <xf numFmtId="37" fontId="63" fillId="0" borderId="115" applyNumberFormat="0"/>
    <xf numFmtId="4" fontId="259" fillId="33" borderId="107" applyNumberFormat="0" applyProtection="0">
      <alignment horizontal="right" vertical="center"/>
    </xf>
    <xf numFmtId="4" fontId="258" fillId="35" borderId="113" applyNumberFormat="0" applyProtection="0">
      <alignment horizontal="left" vertical="center" indent="1"/>
    </xf>
    <xf numFmtId="4" fontId="52" fillId="64" borderId="107" applyNumberFormat="0" applyProtection="0">
      <alignment horizontal="left" vertical="center" indent="1"/>
    </xf>
    <xf numFmtId="4" fontId="255" fillId="50" borderId="107" applyNumberFormat="0" applyProtection="0">
      <alignment horizontal="right" vertical="center"/>
    </xf>
    <xf numFmtId="4" fontId="52" fillId="0" borderId="107" applyNumberFormat="0" applyProtection="0">
      <alignment horizontal="right" vertical="center"/>
    </xf>
    <xf numFmtId="349" fontId="257" fillId="34" borderId="112" applyNumberFormat="0" applyProtection="0">
      <alignment horizontal="left" vertical="top" indent="1"/>
    </xf>
    <xf numFmtId="4" fontId="257" fillId="61" borderId="112" applyNumberFormat="0" applyProtection="0">
      <alignment horizontal="left" vertical="center" indent="1"/>
    </xf>
    <xf numFmtId="4" fontId="257" fillId="34" borderId="112" applyNumberFormat="0" applyProtection="0">
      <alignment vertical="center"/>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4" fontId="52" fillId="26" borderId="107" applyNumberFormat="0" applyProtection="0">
      <alignment horizontal="right" vertical="center"/>
    </xf>
    <xf numFmtId="210" fontId="63" fillId="0" borderId="28" applyFill="0"/>
    <xf numFmtId="349" fontId="52" fillId="83" borderId="107" applyNumberFormat="0" applyProtection="0">
      <alignment horizontal="left" vertical="center" indent="1"/>
    </xf>
    <xf numFmtId="4" fontId="52" fillId="24" borderId="107" applyNumberFormat="0" applyProtection="0">
      <alignment horizontal="right" vertical="center"/>
    </xf>
    <xf numFmtId="4" fontId="52" fillId="23" borderId="107" applyNumberFormat="0" applyProtection="0">
      <alignment horizontal="right" vertical="center"/>
    </xf>
    <xf numFmtId="349" fontId="253" fillId="127" borderId="107" applyNumberFormat="0" applyAlignment="0" applyProtection="0"/>
    <xf numFmtId="349" fontId="253" fillId="127" borderId="107" applyNumberFormat="0" applyAlignment="0" applyProtection="0"/>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8" fillId="30" borderId="112" applyNumberFormat="0" applyProtection="0">
      <alignment horizontal="left" vertical="center" indent="1"/>
    </xf>
    <xf numFmtId="349" fontId="14" fillId="0" borderId="116" applyNumberFormat="0" applyFill="0" applyAlignment="0" applyProtection="0"/>
    <xf numFmtId="349" fontId="14" fillId="0" borderId="116" applyNumberFormat="0" applyFill="0" applyAlignment="0" applyProtection="0"/>
    <xf numFmtId="37" fontId="63" fillId="0" borderId="115" applyNumberFormat="0"/>
    <xf numFmtId="4" fontId="259" fillId="33" borderId="107" applyNumberFormat="0" applyProtection="0">
      <alignment horizontal="right" vertical="center"/>
    </xf>
    <xf numFmtId="4" fontId="258" fillId="35" borderId="113" applyNumberFormat="0" applyProtection="0">
      <alignment horizontal="left" vertical="center" indent="1"/>
    </xf>
    <xf numFmtId="349" fontId="257" fillId="19" borderId="112" applyNumberFormat="0" applyProtection="0">
      <alignment horizontal="left" vertical="top" indent="1"/>
    </xf>
    <xf numFmtId="4" fontId="52" fillId="64" borderId="107" applyNumberFormat="0" applyProtection="0">
      <alignment horizontal="left" vertical="center" indent="1"/>
    </xf>
    <xf numFmtId="4" fontId="255" fillId="50" borderId="107" applyNumberFormat="0" applyProtection="0">
      <alignment horizontal="right" vertical="center"/>
    </xf>
    <xf numFmtId="4" fontId="52" fillId="0" borderId="107" applyNumberFormat="0" applyProtection="0">
      <alignment horizontal="right" vertical="center"/>
    </xf>
    <xf numFmtId="349" fontId="257" fillId="34" borderId="112" applyNumberFormat="0" applyProtection="0">
      <alignment horizontal="left" vertical="top" indent="1"/>
    </xf>
    <xf numFmtId="4" fontId="257" fillId="61" borderId="112" applyNumberFormat="0" applyProtection="0">
      <alignment horizontal="left" vertical="center" indent="1"/>
    </xf>
    <xf numFmtId="4" fontId="257" fillId="34" borderId="112" applyNumberFormat="0" applyProtection="0">
      <alignment vertical="center"/>
    </xf>
    <xf numFmtId="349" fontId="92" fillId="31" borderId="114" applyBorder="0"/>
    <xf numFmtId="349" fontId="52" fillId="32" borderId="107" applyNumberFormat="0" applyProtection="0">
      <alignment horizontal="left" vertical="center"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center" indent="1"/>
    </xf>
    <xf numFmtId="349" fontId="52" fillId="30" borderId="107" applyNumberFormat="0" applyProtection="0">
      <alignment horizontal="left" vertical="center"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center" indent="1"/>
    </xf>
    <xf numFmtId="349" fontId="52" fillId="32" borderId="107" applyNumberFormat="0" applyProtection="0">
      <alignment horizontal="left" vertical="center"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center" indent="1"/>
    </xf>
    <xf numFmtId="349" fontId="52" fillId="83" borderId="107"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349" fontId="52" fillId="61" borderId="107" applyNumberFormat="0" applyProtection="0">
      <alignment horizontal="left" vertical="center" indent="1"/>
    </xf>
    <xf numFmtId="4" fontId="52" fillId="19" borderId="113" applyNumberFormat="0" applyProtection="0">
      <alignment horizontal="left" vertical="center" indent="1"/>
    </xf>
    <xf numFmtId="4" fontId="52" fillId="30" borderId="113" applyNumberFormat="0" applyProtection="0">
      <alignment horizontal="left" vertical="center" indent="1"/>
    </xf>
    <xf numFmtId="4" fontId="52" fillId="19" borderId="107" applyNumberFormat="0" applyProtection="0">
      <alignment horizontal="right" vertical="center"/>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29" borderId="113" applyNumberFormat="0" applyProtection="0">
      <alignment horizontal="left" vertical="center" indent="1"/>
    </xf>
    <xf numFmtId="4" fontId="52" fillId="28" borderId="107" applyNumberFormat="0" applyProtection="0">
      <alignment horizontal="right" vertical="center"/>
    </xf>
    <xf numFmtId="4" fontId="52" fillId="27" borderId="107" applyNumberFormat="0" applyProtection="0">
      <alignment horizontal="right" vertical="center"/>
    </xf>
    <xf numFmtId="4" fontId="52" fillId="26" borderId="107" applyNumberFormat="0" applyProtection="0">
      <alignment horizontal="right" vertical="center"/>
    </xf>
    <xf numFmtId="4" fontId="52" fillId="25" borderId="107" applyNumberFormat="0" applyProtection="0">
      <alignment horizontal="right" vertical="center"/>
    </xf>
    <xf numFmtId="4" fontId="52" fillId="24" borderId="107" applyNumberFormat="0" applyProtection="0">
      <alignment horizontal="right" vertical="center"/>
    </xf>
    <xf numFmtId="4" fontId="52" fillId="23" borderId="107" applyNumberFormat="0" applyProtection="0">
      <alignment horizontal="right" vertical="center"/>
    </xf>
    <xf numFmtId="4" fontId="52" fillId="22" borderId="113"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349" fontId="256" fillId="18" borderId="112" applyNumberFormat="0" applyProtection="0">
      <alignment horizontal="left" vertical="top"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349" fontId="52" fillId="61" borderId="107" applyNumberFormat="0" applyProtection="0">
      <alignment horizontal="left" vertical="center" indent="1"/>
    </xf>
    <xf numFmtId="4" fontId="52" fillId="19" borderId="107" applyNumberFormat="0" applyProtection="0">
      <alignment horizontal="right" vertical="center"/>
    </xf>
    <xf numFmtId="4" fontId="52" fillId="28" borderId="107" applyNumberFormat="0" applyProtection="0">
      <alignment horizontal="right" vertical="center"/>
    </xf>
    <xf numFmtId="4" fontId="52" fillId="27" borderId="107" applyNumberFormat="0" applyProtection="0">
      <alignment horizontal="right" vertical="center"/>
    </xf>
    <xf numFmtId="4" fontId="52" fillId="25" borderId="107"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349" fontId="183" fillId="127" borderId="111" applyNumberFormat="0" applyAlignment="0" applyProtection="0"/>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141" fillId="14" borderId="107" applyNumberFormat="0" applyAlignment="0" applyProtection="0"/>
    <xf numFmtId="349" fontId="253" fillId="127" borderId="107" applyNumberFormat="0" applyAlignment="0" applyProtection="0"/>
    <xf numFmtId="349" fontId="253" fillId="127" borderId="107"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83" fillId="127" borderId="111" applyNumberFormat="0" applyAlignment="0" applyProtection="0"/>
    <xf numFmtId="349" fontId="183" fillId="127" borderId="111" applyNumberFormat="0" applyAlignment="0" applyProtection="0"/>
    <xf numFmtId="4" fontId="52" fillId="18" borderId="107" applyNumberFormat="0" applyProtection="0">
      <alignment vertical="center"/>
    </xf>
    <xf numFmtId="4" fontId="255" fillId="45" borderId="107" applyNumberFormat="0" applyProtection="0">
      <alignment vertical="center"/>
    </xf>
    <xf numFmtId="4" fontId="52" fillId="45" borderId="107" applyNumberFormat="0" applyProtection="0">
      <alignment horizontal="left" vertical="center" indent="1"/>
    </xf>
    <xf numFmtId="349" fontId="256" fillId="18" borderId="112" applyNumberFormat="0" applyProtection="0">
      <alignment horizontal="left" vertical="top" indent="1"/>
    </xf>
    <xf numFmtId="4" fontId="52" fillId="64" borderId="107" applyNumberFormat="0" applyProtection="0">
      <alignment horizontal="left" vertical="center" indent="1"/>
    </xf>
    <xf numFmtId="4" fontId="52" fillId="20" borderId="107" applyNumberFormat="0" applyProtection="0">
      <alignment horizontal="right" vertical="center"/>
    </xf>
    <xf numFmtId="4" fontId="52" fillId="130" borderId="107" applyNumberFormat="0" applyProtection="0">
      <alignment horizontal="right" vertical="center"/>
    </xf>
    <xf numFmtId="4" fontId="52" fillId="22" borderId="113" applyNumberFormat="0" applyProtection="0">
      <alignment horizontal="right" vertical="center"/>
    </xf>
    <xf numFmtId="4" fontId="52" fillId="23" borderId="107" applyNumberFormat="0" applyProtection="0">
      <alignment horizontal="right" vertical="center"/>
    </xf>
    <xf numFmtId="4" fontId="52" fillId="24" borderId="107" applyNumberFormat="0" applyProtection="0">
      <alignment horizontal="right" vertical="center"/>
    </xf>
    <xf numFmtId="4" fontId="52" fillId="25" borderId="107" applyNumberFormat="0" applyProtection="0">
      <alignment horizontal="right" vertical="center"/>
    </xf>
    <xf numFmtId="4" fontId="52" fillId="26" borderId="107" applyNumberFormat="0" applyProtection="0">
      <alignment horizontal="right" vertical="center"/>
    </xf>
    <xf numFmtId="4" fontId="52" fillId="27" borderId="107" applyNumberFormat="0" applyProtection="0">
      <alignment horizontal="right" vertical="center"/>
    </xf>
    <xf numFmtId="4" fontId="52" fillId="28" borderId="107" applyNumberFormat="0" applyProtection="0">
      <alignment horizontal="right" vertical="center"/>
    </xf>
    <xf numFmtId="4" fontId="52" fillId="29" borderId="113" applyNumberFormat="0" applyProtection="0">
      <alignment horizontal="left" vertical="center" indent="1"/>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19" borderId="107" applyNumberFormat="0" applyProtection="0">
      <alignment horizontal="right" vertical="center"/>
    </xf>
    <xf numFmtId="4" fontId="52" fillId="30" borderId="113" applyNumberFormat="0" applyProtection="0">
      <alignment horizontal="left" vertical="center" indent="1"/>
    </xf>
    <xf numFmtId="4" fontId="52" fillId="19" borderId="113" applyNumberFormat="0" applyProtection="0">
      <alignment horizontal="left" vertical="center" indent="1"/>
    </xf>
    <xf numFmtId="349" fontId="52" fillId="61" borderId="107" applyNumberFormat="0" applyProtection="0">
      <alignment horizontal="left" vertical="center" indent="1"/>
    </xf>
    <xf numFmtId="349" fontId="8" fillId="31" borderId="112" applyNumberFormat="0" applyProtection="0">
      <alignment horizontal="left" vertical="center"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83" borderId="107" applyNumberFormat="0" applyProtection="0">
      <alignment horizontal="left" vertical="center" indent="1"/>
    </xf>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07" applyNumberFormat="0" applyProtection="0">
      <alignment horizontal="left" vertical="center"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52" fillId="30" borderId="112" applyNumberFormat="0" applyProtection="0">
      <alignment horizontal="left" vertical="top" indent="1"/>
    </xf>
    <xf numFmtId="4" fontId="257" fillId="61" borderId="112" applyNumberFormat="0" applyProtection="0">
      <alignment horizontal="left" vertical="center" indent="1"/>
    </xf>
    <xf numFmtId="210" fontId="63" fillId="0" borderId="28" applyFill="0"/>
    <xf numFmtId="349" fontId="52" fillId="30" borderId="112" applyNumberFormat="0" applyProtection="0">
      <alignment horizontal="left" vertical="top" indent="1"/>
    </xf>
    <xf numFmtId="349" fontId="257" fillId="19" borderId="112" applyNumberFormat="0" applyProtection="0">
      <alignment horizontal="left" vertical="top" indent="1"/>
    </xf>
    <xf numFmtId="349" fontId="52" fillId="32" borderId="112" applyNumberFormat="0" applyProtection="0">
      <alignment horizontal="left" vertical="top" indent="1"/>
    </xf>
    <xf numFmtId="349" fontId="52" fillId="31" borderId="112" applyNumberFormat="0" applyProtection="0">
      <alignment horizontal="left" vertical="top" indent="1"/>
    </xf>
    <xf numFmtId="4" fontId="52" fillId="27" borderId="107" applyNumberFormat="0" applyProtection="0">
      <alignment horizontal="right" vertical="center"/>
    </xf>
    <xf numFmtId="349" fontId="52" fillId="19" borderId="112" applyNumberFormat="0" applyProtection="0">
      <alignment horizontal="left" vertical="top" indent="1"/>
    </xf>
    <xf numFmtId="164" fontId="11" fillId="0" borderId="0" applyFont="0" applyFill="0" applyBorder="0" applyAlignment="0" applyProtection="0"/>
    <xf numFmtId="349" fontId="52" fillId="19" borderId="112" applyNumberFormat="0" applyProtection="0">
      <alignment horizontal="left" vertical="top" indent="1"/>
    </xf>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31" borderId="112" applyNumberFormat="0" applyProtection="0">
      <alignment horizontal="left" vertical="top" indent="1"/>
    </xf>
    <xf numFmtId="4" fontId="52" fillId="64" borderId="107" applyNumberFormat="0" applyProtection="0">
      <alignment horizontal="left" vertical="center" indent="1"/>
    </xf>
    <xf numFmtId="349" fontId="52" fillId="32" borderId="112" applyNumberFormat="0" applyProtection="0">
      <alignment horizontal="left" vertical="top" indent="1"/>
    </xf>
    <xf numFmtId="349" fontId="14" fillId="0" borderId="116" applyNumberFormat="0" applyFill="0" applyAlignment="0" applyProtection="0"/>
    <xf numFmtId="349" fontId="14" fillId="0" borderId="116" applyNumberFormat="0" applyFill="0" applyAlignment="0" applyProtection="0"/>
    <xf numFmtId="4" fontId="52" fillId="28" borderId="107" applyNumberFormat="0" applyProtection="0">
      <alignment horizontal="right" vertical="center"/>
    </xf>
    <xf numFmtId="349" fontId="52" fillId="30" borderId="112" applyNumberFormat="0" applyProtection="0">
      <alignment horizontal="left" vertical="top" indent="1"/>
    </xf>
    <xf numFmtId="37" fontId="63" fillId="0" borderId="115" applyNumberFormat="0"/>
    <xf numFmtId="349" fontId="52" fillId="19" borderId="112" applyNumberFormat="0" applyProtection="0">
      <alignment horizontal="left" vertical="top" indent="1"/>
    </xf>
    <xf numFmtId="349" fontId="256" fillId="18" borderId="112" applyNumberFormat="0" applyProtection="0">
      <alignment horizontal="left" vertical="top" indent="1"/>
    </xf>
    <xf numFmtId="349" fontId="52" fillId="13" borderId="107" applyNumberFormat="0" applyFont="0" applyAlignment="0" applyProtection="0"/>
    <xf numFmtId="4" fontId="259" fillId="33" borderId="107" applyNumberFormat="0" applyProtection="0">
      <alignment horizontal="right" vertical="center"/>
    </xf>
    <xf numFmtId="4" fontId="258" fillId="35" borderId="113" applyNumberFormat="0" applyProtection="0">
      <alignment horizontal="left" vertical="center" indent="1"/>
    </xf>
    <xf numFmtId="349" fontId="257" fillId="19" borderId="112" applyNumberFormat="0" applyProtection="0">
      <alignment horizontal="left" vertical="top" indent="1"/>
    </xf>
    <xf numFmtId="4" fontId="52" fillId="64" borderId="107" applyNumberFormat="0" applyProtection="0">
      <alignment horizontal="left" vertical="center" indent="1"/>
    </xf>
    <xf numFmtId="4" fontId="255" fillId="50" borderId="107" applyNumberFormat="0" applyProtection="0">
      <alignment horizontal="right" vertical="center"/>
    </xf>
    <xf numFmtId="4" fontId="52" fillId="0" borderId="107" applyNumberFormat="0" applyProtection="0">
      <alignment horizontal="right" vertical="center"/>
    </xf>
    <xf numFmtId="349" fontId="257" fillId="34" borderId="112" applyNumberFormat="0" applyProtection="0">
      <alignment horizontal="left" vertical="top" indent="1"/>
    </xf>
    <xf numFmtId="4" fontId="257" fillId="61" borderId="112" applyNumberFormat="0" applyProtection="0">
      <alignment horizontal="left" vertical="center" indent="1"/>
    </xf>
    <xf numFmtId="4" fontId="257" fillId="34" borderId="112" applyNumberFormat="0" applyProtection="0">
      <alignment vertical="center"/>
    </xf>
    <xf numFmtId="349" fontId="92" fillId="31" borderId="114" applyBorder="0"/>
    <xf numFmtId="4" fontId="52" fillId="25" borderId="107" applyNumberFormat="0" applyProtection="0">
      <alignment horizontal="right" vertical="center"/>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center" indent="1"/>
    </xf>
    <xf numFmtId="349" fontId="52" fillId="30" borderId="107" applyNumberFormat="0" applyProtection="0">
      <alignment horizontal="left" vertical="center"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center" indent="1"/>
    </xf>
    <xf numFmtId="349" fontId="52" fillId="32" borderId="107" applyNumberFormat="0" applyProtection="0">
      <alignment horizontal="left" vertical="center"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center" indent="1"/>
    </xf>
    <xf numFmtId="349" fontId="52" fillId="83" borderId="107"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349" fontId="52" fillId="61" borderId="107" applyNumberFormat="0" applyProtection="0">
      <alignment horizontal="left" vertical="center" indent="1"/>
    </xf>
    <xf numFmtId="4" fontId="52" fillId="19" borderId="113" applyNumberFormat="0" applyProtection="0">
      <alignment horizontal="left" vertical="center" indent="1"/>
    </xf>
    <xf numFmtId="4" fontId="52" fillId="30" borderId="113" applyNumberFormat="0" applyProtection="0">
      <alignment horizontal="left" vertical="center" indent="1"/>
    </xf>
    <xf numFmtId="4" fontId="52" fillId="19" borderId="107" applyNumberFormat="0" applyProtection="0">
      <alignment horizontal="right" vertical="center"/>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29" borderId="113" applyNumberFormat="0" applyProtection="0">
      <alignment horizontal="left" vertical="center" indent="1"/>
    </xf>
    <xf numFmtId="4" fontId="52" fillId="28" borderId="107" applyNumberFormat="0" applyProtection="0">
      <alignment horizontal="right" vertical="center"/>
    </xf>
    <xf numFmtId="4" fontId="52" fillId="27" borderId="107" applyNumberFormat="0" applyProtection="0">
      <alignment horizontal="right" vertical="center"/>
    </xf>
    <xf numFmtId="4" fontId="52" fillId="26" borderId="107" applyNumberFormat="0" applyProtection="0">
      <alignment horizontal="right" vertical="center"/>
    </xf>
    <xf numFmtId="4" fontId="52" fillId="25" borderId="107" applyNumberFormat="0" applyProtection="0">
      <alignment horizontal="right" vertical="center"/>
    </xf>
    <xf numFmtId="4" fontId="52" fillId="24" borderId="107" applyNumberFormat="0" applyProtection="0">
      <alignment horizontal="right" vertical="center"/>
    </xf>
    <xf numFmtId="4" fontId="52" fillId="23" borderId="107" applyNumberFormat="0" applyProtection="0">
      <alignment horizontal="right" vertical="center"/>
    </xf>
    <xf numFmtId="4" fontId="52" fillId="22" borderId="113"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349" fontId="256" fillId="18" borderId="112" applyNumberFormat="0" applyProtection="0">
      <alignment horizontal="left" vertical="top"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4" fontId="52" fillId="27" borderId="107" applyNumberFormat="0" applyProtection="0">
      <alignment horizontal="right" vertical="center"/>
    </xf>
    <xf numFmtId="4" fontId="52" fillId="25" borderId="107" applyNumberFormat="0" applyProtection="0">
      <alignment horizontal="right" vertical="center"/>
    </xf>
    <xf numFmtId="349" fontId="183" fillId="127" borderId="111" applyNumberFormat="0" applyAlignment="0" applyProtection="0"/>
    <xf numFmtId="349" fontId="52" fillId="61" borderId="107" applyNumberFormat="0" applyProtection="0">
      <alignment horizontal="left" vertical="center" indent="1"/>
    </xf>
    <xf numFmtId="349" fontId="183" fillId="127" borderId="111" applyNumberFormat="0" applyAlignment="0" applyProtection="0"/>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4" fontId="52" fillId="130" borderId="107" applyNumberFormat="0" applyProtection="0">
      <alignment horizontal="right" vertical="center"/>
    </xf>
    <xf numFmtId="349" fontId="52" fillId="13" borderId="107" applyNumberFormat="0" applyFont="0" applyAlignment="0" applyProtection="0"/>
    <xf numFmtId="4" fontId="52" fillId="22" borderId="113" applyNumberFormat="0" applyProtection="0">
      <alignment horizontal="right" vertical="center"/>
    </xf>
    <xf numFmtId="349" fontId="183" fillId="127" borderId="111" applyNumberFormat="0" applyAlignment="0" applyProtection="0"/>
    <xf numFmtId="349" fontId="52" fillId="13" borderId="107" applyNumberFormat="0" applyFont="0" applyAlignment="0" applyProtection="0"/>
    <xf numFmtId="4" fontId="52" fillId="20" borderId="107" applyNumberFormat="0" applyProtection="0">
      <alignment horizontal="right" vertical="center"/>
    </xf>
    <xf numFmtId="4" fontId="52" fillId="18" borderId="107" applyNumberFormat="0" applyProtection="0">
      <alignment vertical="center"/>
    </xf>
    <xf numFmtId="4" fontId="52" fillId="24" borderId="107" applyNumberFormat="0" applyProtection="0">
      <alignment horizontal="right" vertical="center"/>
    </xf>
    <xf numFmtId="4" fontId="255" fillId="45" borderId="107" applyNumberFormat="0" applyProtection="0">
      <alignment vertical="center"/>
    </xf>
    <xf numFmtId="164" fontId="11" fillId="0" borderId="0" applyFont="0" applyFill="0" applyBorder="0" applyAlignment="0" applyProtection="0"/>
    <xf numFmtId="349" fontId="141" fillId="14" borderId="107" applyNumberFormat="0" applyAlignment="0" applyProtection="0"/>
    <xf numFmtId="349" fontId="52" fillId="61" borderId="107" applyNumberFormat="0" applyProtection="0">
      <alignment horizontal="left" vertical="center" indent="1"/>
    </xf>
    <xf numFmtId="349" fontId="52" fillId="13" borderId="107" applyNumberFormat="0" applyFont="0" applyAlignment="0" applyProtection="0"/>
    <xf numFmtId="349" fontId="141" fillId="14" borderId="107" applyNumberFormat="0" applyAlignment="0" applyProtection="0"/>
    <xf numFmtId="4" fontId="255" fillId="45" borderId="107" applyNumberFormat="0" applyProtection="0">
      <alignment vertical="center"/>
    </xf>
    <xf numFmtId="164" fontId="11" fillId="0" borderId="0" applyFont="0" applyFill="0" applyBorder="0" applyAlignment="0" applyProtection="0"/>
    <xf numFmtId="4" fontId="52" fillId="19" borderId="107" applyNumberFormat="0" applyProtection="0">
      <alignment horizontal="right" vertical="center"/>
    </xf>
    <xf numFmtId="4" fontId="52" fillId="18" borderId="107" applyNumberFormat="0" applyProtection="0">
      <alignment vertical="center"/>
    </xf>
    <xf numFmtId="4" fontId="52" fillId="18" borderId="107" applyNumberFormat="0" applyProtection="0">
      <alignment vertical="center"/>
    </xf>
    <xf numFmtId="4" fontId="52" fillId="19" borderId="107" applyNumberFormat="0" applyProtection="0">
      <alignment horizontal="right" vertical="center"/>
    </xf>
    <xf numFmtId="4" fontId="52" fillId="23" borderId="107" applyNumberFormat="0" applyProtection="0">
      <alignment horizontal="right" vertical="center"/>
    </xf>
    <xf numFmtId="349" fontId="183" fillId="127" borderId="111" applyNumberFormat="0" applyAlignment="0" applyProtection="0"/>
    <xf numFmtId="349" fontId="52" fillId="13" borderId="107" applyNumberFormat="0" applyFont="0" applyAlignment="0" applyProtection="0"/>
    <xf numFmtId="4" fontId="52" fillId="130" borderId="107" applyNumberFormat="0" applyProtection="0">
      <alignment horizontal="right" vertical="center"/>
    </xf>
    <xf numFmtId="4" fontId="52" fillId="45" borderId="107" applyNumberFormat="0" applyProtection="0">
      <alignment horizontal="left" vertical="center" indent="1"/>
    </xf>
    <xf numFmtId="349" fontId="52" fillId="32" borderId="107" applyNumberFormat="0" applyProtection="0">
      <alignment horizontal="left" vertical="center" indent="1"/>
    </xf>
    <xf numFmtId="349" fontId="52" fillId="13" borderId="107" applyNumberFormat="0" applyFont="0" applyAlignment="0" applyProtection="0"/>
    <xf numFmtId="349" fontId="92" fillId="31" borderId="114" applyBorder="0"/>
    <xf numFmtId="349" fontId="14" fillId="0" borderId="116" applyNumberFormat="0" applyFill="0" applyAlignment="0" applyProtection="0"/>
    <xf numFmtId="164" fontId="11" fillId="0" borderId="0" applyFont="0" applyFill="0" applyBorder="0" applyAlignment="0" applyProtection="0"/>
    <xf numFmtId="349" fontId="253" fillId="127" borderId="107" applyNumberFormat="0" applyAlignment="0" applyProtection="0"/>
    <xf numFmtId="4" fontId="52" fillId="24" borderId="107" applyNumberFormat="0" applyProtection="0">
      <alignment horizontal="right" vertical="center"/>
    </xf>
    <xf numFmtId="349" fontId="52" fillId="13" borderId="107" applyNumberFormat="0" applyFont="0" applyAlignment="0" applyProtection="0"/>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4" fontId="52" fillId="64" borderId="107" applyNumberFormat="0" applyProtection="0">
      <alignment horizontal="left" vertical="center" indent="1"/>
    </xf>
    <xf numFmtId="349" fontId="257" fillId="19" borderId="112" applyNumberFormat="0" applyProtection="0">
      <alignment horizontal="left" vertical="top" indent="1"/>
    </xf>
    <xf numFmtId="349" fontId="14" fillId="0" borderId="116" applyNumberFormat="0" applyFill="0" applyAlignment="0" applyProtection="0"/>
    <xf numFmtId="349" fontId="52" fillId="13" borderId="107" applyNumberFormat="0" applyFont="0" applyAlignment="0" applyProtection="0"/>
    <xf numFmtId="4" fontId="255" fillId="45" borderId="107" applyNumberFormat="0" applyProtection="0">
      <alignment vertical="center"/>
    </xf>
    <xf numFmtId="349" fontId="52" fillId="83" borderId="107" applyNumberFormat="0" applyProtection="0">
      <alignment horizontal="left" vertical="center" indent="1"/>
    </xf>
    <xf numFmtId="37" fontId="63" fillId="0" borderId="115" applyNumberFormat="0"/>
    <xf numFmtId="349" fontId="52" fillId="31" borderId="112" applyNumberFormat="0" applyProtection="0">
      <alignment horizontal="left" vertical="top" indent="1"/>
    </xf>
    <xf numFmtId="349" fontId="52" fillId="83" borderId="107" applyNumberFormat="0" applyProtection="0">
      <alignment horizontal="left" vertical="center" indent="1"/>
    </xf>
    <xf numFmtId="349" fontId="52" fillId="19" borderId="112" applyNumberFormat="0" applyProtection="0">
      <alignment horizontal="left" vertical="top" indent="1"/>
    </xf>
    <xf numFmtId="349" fontId="8" fillId="32" borderId="112" applyNumberFormat="0" applyProtection="0">
      <alignment horizontal="left" vertical="top" indent="1"/>
    </xf>
    <xf numFmtId="349" fontId="52" fillId="19" borderId="112" applyNumberFormat="0" applyProtection="0">
      <alignment horizontal="left" vertical="top" indent="1"/>
    </xf>
    <xf numFmtId="349" fontId="52" fillId="61" borderId="107" applyNumberFormat="0" applyProtection="0">
      <alignment horizontal="left" vertical="center" indent="1"/>
    </xf>
    <xf numFmtId="4" fontId="52" fillId="28" borderId="107" applyNumberFormat="0" applyProtection="0">
      <alignment horizontal="right" vertical="center"/>
    </xf>
    <xf numFmtId="4" fontId="52" fillId="130" borderId="107" applyNumberFormat="0" applyProtection="0">
      <alignment horizontal="right" vertical="center"/>
    </xf>
    <xf numFmtId="4" fontId="52" fillId="64" borderId="107" applyNumberFormat="0" applyProtection="0">
      <alignment horizontal="left" vertical="center" indent="1"/>
    </xf>
    <xf numFmtId="4" fontId="255" fillId="45" borderId="107" applyNumberFormat="0" applyProtection="0">
      <alignment vertical="center"/>
    </xf>
    <xf numFmtId="4" fontId="259" fillId="33" borderId="107" applyNumberFormat="0" applyProtection="0">
      <alignment horizontal="right" vertical="center"/>
    </xf>
    <xf numFmtId="349" fontId="52" fillId="30" borderId="112" applyNumberFormat="0" applyProtection="0">
      <alignment horizontal="left" vertical="top" indent="1"/>
    </xf>
    <xf numFmtId="349" fontId="52" fillId="30" borderId="112" applyNumberFormat="0" applyProtection="0">
      <alignment horizontal="left" vertical="top" indent="1"/>
    </xf>
    <xf numFmtId="164" fontId="11" fillId="0" borderId="0" applyFont="0" applyFill="0" applyBorder="0" applyAlignment="0" applyProtection="0"/>
    <xf numFmtId="4" fontId="52" fillId="64" borderId="107" applyNumberFormat="0" applyProtection="0">
      <alignment horizontal="left" vertical="center" indent="1"/>
    </xf>
    <xf numFmtId="4" fontId="257" fillId="61" borderId="112" applyNumberFormat="0" applyProtection="0">
      <alignment horizontal="left" vertical="center" indent="1"/>
    </xf>
    <xf numFmtId="4" fontId="52" fillId="26" borderId="107" applyNumberFormat="0" applyProtection="0">
      <alignment horizontal="right" vertical="center"/>
    </xf>
    <xf numFmtId="4" fontId="52" fillId="24" borderId="107" applyNumberFormat="0" applyProtection="0">
      <alignment horizontal="right" vertical="center"/>
    </xf>
    <xf numFmtId="349" fontId="253" fillId="127" borderId="107" applyNumberFormat="0" applyAlignment="0" applyProtection="0"/>
    <xf numFmtId="164" fontId="11" fillId="0" borderId="0" applyFont="0" applyFill="0" applyBorder="0" applyAlignment="0" applyProtection="0"/>
    <xf numFmtId="164" fontId="11" fillId="0" borderId="0" applyFont="0" applyFill="0" applyBorder="0" applyAlignment="0" applyProtection="0"/>
    <xf numFmtId="349" fontId="52" fillId="30" borderId="112" applyNumberFormat="0" applyProtection="0">
      <alignment horizontal="left" vertical="top" indent="1"/>
    </xf>
    <xf numFmtId="4" fontId="255" fillId="45" borderId="107" applyNumberFormat="0" applyProtection="0">
      <alignment vertical="center"/>
    </xf>
    <xf numFmtId="4" fontId="52" fillId="20" borderId="107" applyNumberFormat="0" applyProtection="0">
      <alignment horizontal="right" vertical="center"/>
    </xf>
    <xf numFmtId="349" fontId="52" fillId="61" borderId="107" applyNumberFormat="0" applyProtection="0">
      <alignment horizontal="left" vertical="center" indent="1"/>
    </xf>
    <xf numFmtId="4" fontId="52" fillId="28" borderId="107" applyNumberFormat="0" applyProtection="0">
      <alignment horizontal="right" vertical="center"/>
    </xf>
    <xf numFmtId="4" fontId="52" fillId="25" borderId="107" applyNumberFormat="0" applyProtection="0">
      <alignment horizontal="right" vertical="center"/>
    </xf>
    <xf numFmtId="4" fontId="52" fillId="130" borderId="107" applyNumberFormat="0" applyProtection="0">
      <alignment horizontal="right" vertical="center"/>
    </xf>
    <xf numFmtId="4" fontId="52" fillId="27" borderId="107" applyNumberFormat="0" applyProtection="0">
      <alignment horizontal="right" vertical="center"/>
    </xf>
    <xf numFmtId="349" fontId="52" fillId="30" borderId="112" applyNumberFormat="0" applyProtection="0">
      <alignment horizontal="left" vertical="top" indent="1"/>
    </xf>
    <xf numFmtId="349" fontId="8" fillId="30" borderId="112" applyNumberFormat="0" applyProtection="0">
      <alignment horizontal="left" vertical="center" indent="1"/>
    </xf>
    <xf numFmtId="349" fontId="52" fillId="32" borderId="107" applyNumberFormat="0" applyProtection="0">
      <alignment horizontal="left" vertical="center"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183" fillId="127" borderId="111" applyNumberFormat="0" applyAlignment="0" applyProtection="0"/>
    <xf numFmtId="4" fontId="52" fillId="19" borderId="107" applyNumberFormat="0" applyProtection="0">
      <alignment horizontal="right" vertical="center"/>
    </xf>
    <xf numFmtId="164" fontId="6" fillId="0" borderId="0" applyFont="0" applyFill="0" applyBorder="0" applyAlignment="0" applyProtection="0"/>
    <xf numFmtId="4" fontId="52" fillId="23" borderId="107" applyNumberFormat="0" applyProtection="0">
      <alignment horizontal="right" vertical="center"/>
    </xf>
    <xf numFmtId="349" fontId="8" fillId="19" borderId="112" applyNumberFormat="0" applyProtection="0">
      <alignment horizontal="left" vertical="top" indent="1"/>
    </xf>
    <xf numFmtId="349" fontId="141" fillId="14" borderId="107" applyNumberFormat="0" applyAlignment="0" applyProtection="0"/>
    <xf numFmtId="349" fontId="14" fillId="0" borderId="116" applyNumberFormat="0" applyFill="0" applyAlignment="0" applyProtection="0"/>
    <xf numFmtId="349" fontId="8" fillId="30" borderId="112" applyNumberFormat="0" applyProtection="0">
      <alignment horizontal="left" vertical="top" indent="1"/>
    </xf>
    <xf numFmtId="4" fontId="255" fillId="50" borderId="107" applyNumberFormat="0" applyProtection="0">
      <alignment horizontal="right" vertical="center"/>
    </xf>
    <xf numFmtId="4" fontId="52" fillId="45" borderId="107" applyNumberFormat="0" applyProtection="0">
      <alignment horizontal="left" vertical="center" indent="1"/>
    </xf>
    <xf numFmtId="349" fontId="52" fillId="30" borderId="112" applyNumberFormat="0" applyProtection="0">
      <alignment horizontal="left" vertical="top" indent="1"/>
    </xf>
    <xf numFmtId="4" fontId="52" fillId="64" borderId="107" applyNumberFormat="0" applyProtection="0">
      <alignment horizontal="left" vertical="center" indent="1"/>
    </xf>
    <xf numFmtId="349" fontId="52" fillId="13" borderId="107" applyNumberFormat="0" applyFont="0" applyAlignment="0" applyProtection="0"/>
    <xf numFmtId="349" fontId="52" fillId="13" borderId="107" applyNumberFormat="0" applyFont="0" applyAlignment="0" applyProtection="0"/>
    <xf numFmtId="349" fontId="253" fillId="127" borderId="107" applyNumberFormat="0" applyAlignment="0" applyProtection="0"/>
    <xf numFmtId="349" fontId="141" fillId="14" borderId="107" applyNumberFormat="0" applyAlignment="0" applyProtection="0"/>
    <xf numFmtId="349" fontId="52" fillId="13" borderId="107" applyNumberFormat="0" applyFont="0" applyAlignment="0" applyProtection="0"/>
    <xf numFmtId="349" fontId="183" fillId="127" borderId="111" applyNumberFormat="0" applyAlignment="0" applyProtection="0"/>
    <xf numFmtId="4" fontId="257" fillId="34" borderId="112" applyNumberFormat="0" applyProtection="0">
      <alignment vertical="center"/>
    </xf>
    <xf numFmtId="349" fontId="52" fillId="32" borderId="112" applyNumberFormat="0" applyProtection="0">
      <alignment horizontal="left" vertical="top" indent="1"/>
    </xf>
    <xf numFmtId="349" fontId="253" fillId="127" borderId="107" applyNumberFormat="0" applyAlignment="0" applyProtection="0"/>
    <xf numFmtId="349" fontId="52" fillId="13" borderId="107" applyNumberFormat="0" applyFont="0" applyAlignment="0" applyProtection="0"/>
    <xf numFmtId="4" fontId="52" fillId="0" borderId="107" applyNumberFormat="0" applyProtection="0">
      <alignment horizontal="right" vertical="center"/>
    </xf>
    <xf numFmtId="349" fontId="52" fillId="31" borderId="112" applyNumberFormat="0" applyProtection="0">
      <alignment horizontal="left" vertical="top" indent="1"/>
    </xf>
    <xf numFmtId="349" fontId="52" fillId="30" borderId="112" applyNumberFormat="0" applyProtection="0">
      <alignment horizontal="left" vertical="top" indent="1"/>
    </xf>
    <xf numFmtId="4" fontId="258" fillId="35" borderId="113" applyNumberFormat="0" applyProtection="0">
      <alignment horizontal="left" vertical="center" indent="1"/>
    </xf>
    <xf numFmtId="349" fontId="141" fillId="14" borderId="107" applyNumberFormat="0" applyAlignment="0" applyProtection="0"/>
    <xf numFmtId="349" fontId="52" fillId="19" borderId="112" applyNumberFormat="0" applyProtection="0">
      <alignment horizontal="left" vertical="top" indent="1"/>
    </xf>
    <xf numFmtId="349" fontId="52" fillId="30" borderId="112" applyNumberFormat="0" applyProtection="0">
      <alignment horizontal="left" vertical="top" indent="1"/>
    </xf>
    <xf numFmtId="349" fontId="52" fillId="30" borderId="107" applyNumberFormat="0" applyProtection="0">
      <alignment horizontal="left" vertical="center" indent="1"/>
    </xf>
    <xf numFmtId="4" fontId="52" fillId="20" borderId="107" applyNumberFormat="0" applyProtection="0">
      <alignment horizontal="right" vertical="center"/>
    </xf>
    <xf numFmtId="4" fontId="52" fillId="0" borderId="107" applyNumberFormat="0" applyProtection="0">
      <alignment horizontal="right" vertical="center"/>
    </xf>
    <xf numFmtId="210" fontId="63" fillId="0" borderId="28" applyFill="0"/>
    <xf numFmtId="349" fontId="52" fillId="13" borderId="107" applyNumberFormat="0" applyFont="0" applyAlignment="0" applyProtection="0"/>
    <xf numFmtId="4" fontId="52" fillId="64" borderId="107" applyNumberFormat="0" applyProtection="0">
      <alignment horizontal="left" vertical="center" indent="1"/>
    </xf>
    <xf numFmtId="349" fontId="52" fillId="13" borderId="107" applyNumberFormat="0" applyFont="0" applyAlignment="0" applyProtection="0"/>
    <xf numFmtId="349" fontId="52" fillId="13" borderId="107" applyNumberFormat="0" applyFont="0" applyAlignment="0" applyProtection="0"/>
    <xf numFmtId="349" fontId="52" fillId="31" borderId="112" applyNumberFormat="0" applyProtection="0">
      <alignment horizontal="left" vertical="top"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13" borderId="107" applyNumberFormat="0" applyFont="0" applyAlignment="0" applyProtection="0"/>
    <xf numFmtId="4" fontId="52" fillId="24" borderId="107" applyNumberFormat="0" applyProtection="0">
      <alignment horizontal="right" vertical="center"/>
    </xf>
    <xf numFmtId="349" fontId="52" fillId="32" borderId="112" applyNumberFormat="0" applyProtection="0">
      <alignment horizontal="left" vertical="top" indent="1"/>
    </xf>
    <xf numFmtId="4" fontId="52" fillId="64" borderId="107" applyNumberFormat="0" applyProtection="0">
      <alignment horizontal="left" vertical="center" indent="1"/>
    </xf>
    <xf numFmtId="349" fontId="52" fillId="31" borderId="112" applyNumberFormat="0" applyProtection="0">
      <alignment horizontal="left" vertical="top" indent="1"/>
    </xf>
    <xf numFmtId="349" fontId="253" fillId="127" borderId="107" applyNumberFormat="0" applyAlignment="0" applyProtection="0"/>
    <xf numFmtId="4" fontId="257" fillId="61" borderId="112" applyNumberFormat="0" applyProtection="0">
      <alignment horizontal="left" vertical="center" indent="1"/>
    </xf>
    <xf numFmtId="349" fontId="14" fillId="0" borderId="116" applyNumberFormat="0" applyFill="0" applyAlignment="0" applyProtection="0"/>
    <xf numFmtId="349" fontId="52" fillId="13" borderId="107" applyNumberFormat="0" applyFont="0" applyAlignment="0" applyProtection="0"/>
    <xf numFmtId="349" fontId="52" fillId="31" borderId="112" applyNumberFormat="0" applyProtection="0">
      <alignment horizontal="left" vertical="top" indent="1"/>
    </xf>
    <xf numFmtId="4" fontId="52" fillId="64" borderId="107" applyNumberFormat="0" applyProtection="0">
      <alignment horizontal="left" vertical="center" indent="1"/>
    </xf>
    <xf numFmtId="349" fontId="253" fillId="127" borderId="107" applyNumberFormat="0" applyAlignment="0" applyProtection="0"/>
    <xf numFmtId="4" fontId="259" fillId="33" borderId="107" applyNumberFormat="0" applyProtection="0">
      <alignment horizontal="right" vertical="center"/>
    </xf>
    <xf numFmtId="349" fontId="92" fillId="31" borderId="114" applyBorder="0"/>
    <xf numFmtId="349" fontId="52" fillId="13" borderId="107" applyNumberFormat="0" applyFont="0" applyAlignment="0" applyProtection="0"/>
    <xf numFmtId="4" fontId="52" fillId="64" borderId="107" applyNumberFormat="0" applyProtection="0">
      <alignment horizontal="left" vertical="center"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13" borderId="107" applyNumberFormat="0" applyFont="0" applyAlignment="0" applyProtection="0"/>
    <xf numFmtId="349" fontId="183" fillId="127" borderId="111" applyNumberFormat="0" applyAlignment="0" applyProtection="0"/>
    <xf numFmtId="4" fontId="52" fillId="20" borderId="107" applyNumberFormat="0" applyProtection="0">
      <alignment horizontal="right" vertical="center"/>
    </xf>
    <xf numFmtId="349" fontId="52" fillId="31" borderId="112" applyNumberFormat="0" applyProtection="0">
      <alignment horizontal="left" vertical="top" indent="1"/>
    </xf>
    <xf numFmtId="349" fontId="92" fillId="31" borderId="114" applyBorder="0"/>
    <xf numFmtId="4" fontId="52" fillId="28" borderId="107" applyNumberFormat="0" applyProtection="0">
      <alignment horizontal="right" vertical="center"/>
    </xf>
    <xf numFmtId="349" fontId="52" fillId="31" borderId="112" applyNumberFormat="0" applyProtection="0">
      <alignment horizontal="left" vertical="top" indent="1"/>
    </xf>
    <xf numFmtId="349" fontId="52" fillId="30" borderId="112" applyNumberFormat="0" applyProtection="0">
      <alignment horizontal="left" vertical="top" indent="1"/>
    </xf>
    <xf numFmtId="4" fontId="52" fillId="26" borderId="107" applyNumberFormat="0" applyProtection="0">
      <alignment horizontal="right" vertical="center"/>
    </xf>
    <xf numFmtId="349" fontId="52" fillId="32" borderId="112" applyNumberFormat="0" applyProtection="0">
      <alignment horizontal="left" vertical="top" indent="1"/>
    </xf>
    <xf numFmtId="349" fontId="8" fillId="32" borderId="112" applyNumberFormat="0" applyProtection="0">
      <alignment horizontal="left" vertical="center" indent="1"/>
    </xf>
    <xf numFmtId="4" fontId="52" fillId="0" borderId="107" applyNumberFormat="0" applyProtection="0">
      <alignment horizontal="right" vertical="center"/>
    </xf>
    <xf numFmtId="349" fontId="52" fillId="19" borderId="112" applyNumberFormat="0" applyProtection="0">
      <alignment horizontal="left" vertical="top" indent="1"/>
    </xf>
    <xf numFmtId="349" fontId="253" fillId="127" borderId="107" applyNumberFormat="0" applyAlignment="0" applyProtection="0"/>
    <xf numFmtId="349" fontId="141" fillId="14" borderId="107" applyNumberFormat="0" applyAlignment="0" applyProtection="0"/>
    <xf numFmtId="4" fontId="52" fillId="45" borderId="107" applyNumberFormat="0" applyProtection="0">
      <alignment horizontal="left" vertical="center" indent="1"/>
    </xf>
    <xf numFmtId="4" fontId="257" fillId="61" borderId="112" applyNumberFormat="0" applyProtection="0">
      <alignment horizontal="left" vertical="center" indent="1"/>
    </xf>
    <xf numFmtId="4" fontId="52" fillId="28" borderId="107" applyNumberFormat="0" applyProtection="0">
      <alignment horizontal="right" vertical="center"/>
    </xf>
    <xf numFmtId="4" fontId="255" fillId="50" borderId="107" applyNumberFormat="0" applyProtection="0">
      <alignment horizontal="right" vertical="center"/>
    </xf>
    <xf numFmtId="349" fontId="52" fillId="13" borderId="107" applyNumberFormat="0" applyFont="0" applyAlignment="0" applyProtection="0"/>
    <xf numFmtId="349" fontId="141" fillId="14" borderId="107" applyNumberFormat="0" applyAlignment="0" applyProtection="0"/>
    <xf numFmtId="349" fontId="52" fillId="13" borderId="107" applyNumberFormat="0" applyFont="0" applyAlignment="0" applyProtection="0"/>
    <xf numFmtId="4" fontId="259" fillId="33" borderId="107" applyNumberFormat="0" applyProtection="0">
      <alignment horizontal="right" vertical="center"/>
    </xf>
    <xf numFmtId="349" fontId="253" fillId="127" borderId="107"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4" fontId="52" fillId="0" borderId="107" applyNumberFormat="0" applyProtection="0">
      <alignment horizontal="right" vertical="center"/>
    </xf>
    <xf numFmtId="164" fontId="11" fillId="0" borderId="0" applyFont="0" applyFill="0" applyBorder="0" applyAlignment="0" applyProtection="0"/>
    <xf numFmtId="349" fontId="52" fillId="13" borderId="107" applyNumberFormat="0" applyFont="0" applyAlignment="0" applyProtection="0"/>
    <xf numFmtId="349" fontId="253" fillId="127" borderId="107" applyNumberFormat="0" applyAlignment="0" applyProtection="0"/>
    <xf numFmtId="349" fontId="257" fillId="34" borderId="112" applyNumberFormat="0" applyProtection="0">
      <alignment horizontal="left" vertical="top" indent="1"/>
    </xf>
    <xf numFmtId="349" fontId="8" fillId="30" borderId="112" applyNumberFormat="0" applyProtection="0">
      <alignment horizontal="left" vertical="center" indent="1"/>
    </xf>
    <xf numFmtId="4" fontId="259" fillId="33" borderId="107" applyNumberFormat="0" applyProtection="0">
      <alignment horizontal="right" vertical="center"/>
    </xf>
    <xf numFmtId="349" fontId="52" fillId="30" borderId="107" applyNumberFormat="0" applyProtection="0">
      <alignment horizontal="left" vertical="center" indent="1"/>
    </xf>
    <xf numFmtId="349" fontId="52" fillId="83" borderId="107" applyNumberFormat="0" applyProtection="0">
      <alignment horizontal="left" vertical="center" indent="1"/>
    </xf>
    <xf numFmtId="4" fontId="52" fillId="20" borderId="107" applyNumberFormat="0" applyProtection="0">
      <alignment horizontal="right" vertical="center"/>
    </xf>
    <xf numFmtId="349" fontId="52" fillId="19" borderId="112" applyNumberFormat="0" applyProtection="0">
      <alignment horizontal="left" vertical="top" indent="1"/>
    </xf>
    <xf numFmtId="349" fontId="52" fillId="83" borderId="107" applyNumberFormat="0" applyProtection="0">
      <alignment horizontal="left" vertical="center" indent="1"/>
    </xf>
    <xf numFmtId="349" fontId="52" fillId="13" borderId="107" applyNumberFormat="0" applyFont="0" applyAlignment="0" applyProtection="0"/>
    <xf numFmtId="349" fontId="52" fillId="31" borderId="112" applyNumberFormat="0" applyProtection="0">
      <alignment horizontal="left" vertical="top" indent="1"/>
    </xf>
    <xf numFmtId="349" fontId="52" fillId="30" borderId="112" applyNumberFormat="0" applyProtection="0">
      <alignment horizontal="left" vertical="top" indent="1"/>
    </xf>
    <xf numFmtId="349" fontId="52" fillId="13" borderId="107" applyNumberFormat="0" applyFont="0" applyAlignment="0" applyProtection="0"/>
    <xf numFmtId="4" fontId="52" fillId="23" borderId="107" applyNumberFormat="0" applyProtection="0">
      <alignment horizontal="right" vertical="center"/>
    </xf>
    <xf numFmtId="349" fontId="52" fillId="32" borderId="107" applyNumberFormat="0" applyProtection="0">
      <alignment horizontal="left" vertical="center" indent="1"/>
    </xf>
    <xf numFmtId="349" fontId="52" fillId="30" borderId="112" applyNumberFormat="0" applyProtection="0">
      <alignment horizontal="left" vertical="top" indent="1"/>
    </xf>
    <xf numFmtId="4" fontId="52" fillId="19" borderId="107" applyNumberFormat="0" applyProtection="0">
      <alignment horizontal="right" vertical="center"/>
    </xf>
    <xf numFmtId="349" fontId="257" fillId="34" borderId="112" applyNumberFormat="0" applyProtection="0">
      <alignment horizontal="left" vertical="top" indent="1"/>
    </xf>
    <xf numFmtId="349" fontId="14" fillId="0" borderId="116" applyNumberFormat="0" applyFill="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31" borderId="112" applyNumberFormat="0" applyProtection="0">
      <alignment horizontal="left" vertical="top" indent="1"/>
    </xf>
    <xf numFmtId="349" fontId="52" fillId="30" borderId="112" applyNumberFormat="0" applyProtection="0">
      <alignment horizontal="left" vertical="top" indent="1"/>
    </xf>
    <xf numFmtId="37" fontId="63" fillId="0" borderId="115" applyNumberFormat="0"/>
    <xf numFmtId="349" fontId="52" fillId="19" borderId="112" applyNumberFormat="0" applyProtection="0">
      <alignment horizontal="left" vertical="top" indent="1"/>
    </xf>
    <xf numFmtId="349" fontId="52" fillId="13" borderId="107" applyNumberFormat="0" applyFont="0" applyAlignment="0" applyProtection="0"/>
    <xf numFmtId="349" fontId="52" fillId="30" borderId="112" applyNumberFormat="0" applyProtection="0">
      <alignment horizontal="left" vertical="top" indent="1"/>
    </xf>
    <xf numFmtId="349" fontId="253" fillId="127" borderId="107" applyNumberFormat="0" applyAlignment="0" applyProtection="0"/>
    <xf numFmtId="349" fontId="52" fillId="31" borderId="112" applyNumberFormat="0" applyProtection="0">
      <alignment horizontal="left" vertical="top" indent="1"/>
    </xf>
    <xf numFmtId="349" fontId="52" fillId="32" borderId="112" applyNumberFormat="0" applyProtection="0">
      <alignment horizontal="left" vertical="top" indent="1"/>
    </xf>
    <xf numFmtId="4" fontId="257" fillId="34" borderId="112" applyNumberFormat="0" applyProtection="0">
      <alignment vertical="center"/>
    </xf>
    <xf numFmtId="37" fontId="63" fillId="0" borderId="115" applyNumberFormat="0"/>
    <xf numFmtId="349" fontId="52" fillId="13" borderId="107" applyNumberFormat="0" applyFont="0" applyAlignment="0" applyProtection="0"/>
    <xf numFmtId="349" fontId="52" fillId="31" borderId="112" applyNumberFormat="0" applyProtection="0">
      <alignment horizontal="left" vertical="top" indent="1"/>
    </xf>
    <xf numFmtId="4" fontId="52" fillId="20" borderId="107" applyNumberFormat="0" applyProtection="0">
      <alignment horizontal="right" vertical="center"/>
    </xf>
    <xf numFmtId="349" fontId="141" fillId="14" borderId="107" applyNumberFormat="0" applyAlignment="0" applyProtection="0"/>
    <xf numFmtId="4" fontId="255" fillId="50" borderId="107" applyNumberFormat="0" applyProtection="0">
      <alignment horizontal="right" vertical="center"/>
    </xf>
    <xf numFmtId="349" fontId="52" fillId="31" borderId="112" applyNumberFormat="0" applyProtection="0">
      <alignment horizontal="left" vertical="top" indent="1"/>
    </xf>
    <xf numFmtId="4" fontId="258" fillId="35" borderId="113" applyNumberFormat="0" applyProtection="0">
      <alignment horizontal="left" vertical="center"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4" fontId="52" fillId="30" borderId="113" applyNumberFormat="0" applyProtection="0">
      <alignment horizontal="left" vertical="center" indent="1"/>
    </xf>
    <xf numFmtId="349" fontId="257" fillId="34" borderId="112" applyNumberFormat="0" applyProtection="0">
      <alignment horizontal="left" vertical="top" indent="1"/>
    </xf>
    <xf numFmtId="349" fontId="52" fillId="31" borderId="112" applyNumberFormat="0" applyProtection="0">
      <alignment horizontal="left" vertical="top" indent="1"/>
    </xf>
    <xf numFmtId="4" fontId="52" fillId="18" borderId="107" applyNumberFormat="0" applyProtection="0">
      <alignment vertical="center"/>
    </xf>
    <xf numFmtId="4" fontId="52" fillId="64" borderId="107" applyNumberFormat="0" applyProtection="0">
      <alignment horizontal="left" vertical="center" indent="1"/>
    </xf>
    <xf numFmtId="4" fontId="8" fillId="31" borderId="113" applyNumberFormat="0" applyProtection="0">
      <alignment horizontal="left" vertical="center" indent="1"/>
    </xf>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30" borderId="112" applyNumberFormat="0" applyProtection="0">
      <alignment horizontal="left" vertical="top" indent="1"/>
    </xf>
    <xf numFmtId="4" fontId="257" fillId="61" borderId="112" applyNumberFormat="0" applyProtection="0">
      <alignment horizontal="left" vertical="center" indent="1"/>
    </xf>
    <xf numFmtId="4" fontId="255" fillId="50" borderId="107" applyNumberFormat="0" applyProtection="0">
      <alignment horizontal="right" vertical="center"/>
    </xf>
    <xf numFmtId="349" fontId="52" fillId="13" borderId="107" applyNumberFormat="0" applyFont="0" applyAlignment="0" applyProtection="0"/>
    <xf numFmtId="349" fontId="52" fillId="30" borderId="112" applyNumberFormat="0" applyProtection="0">
      <alignment horizontal="left" vertical="top" indent="1"/>
    </xf>
    <xf numFmtId="349" fontId="52" fillId="19" borderId="112" applyNumberFormat="0" applyProtection="0">
      <alignment horizontal="left" vertical="top" indent="1"/>
    </xf>
    <xf numFmtId="4" fontId="259" fillId="33" borderId="107" applyNumberFormat="0" applyProtection="0">
      <alignment horizontal="right" vertical="center"/>
    </xf>
    <xf numFmtId="37" fontId="63" fillId="0" borderId="115" applyNumberFormat="0"/>
    <xf numFmtId="349" fontId="14" fillId="0" borderId="116" applyNumberFormat="0" applyFill="0" applyAlignment="0" applyProtection="0"/>
    <xf numFmtId="349" fontId="14" fillId="0" borderId="116" applyNumberFormat="0" applyFill="0" applyAlignment="0" applyProtection="0"/>
    <xf numFmtId="349" fontId="52" fillId="30" borderId="107" applyNumberFormat="0" applyProtection="0">
      <alignment horizontal="left" vertical="center" indent="1"/>
    </xf>
    <xf numFmtId="349" fontId="253" fillId="127" borderId="107" applyNumberFormat="0" applyAlignment="0" applyProtection="0"/>
    <xf numFmtId="349" fontId="253" fillId="127" borderId="107" applyNumberFormat="0" applyAlignment="0" applyProtection="0"/>
    <xf numFmtId="210" fontId="63" fillId="0" borderId="28" applyFill="0"/>
    <xf numFmtId="4" fontId="52" fillId="0" borderId="107" applyNumberFormat="0" applyProtection="0">
      <alignment horizontal="right" vertical="center"/>
    </xf>
    <xf numFmtId="4" fontId="255" fillId="50" borderId="107" applyNumberFormat="0" applyProtection="0">
      <alignment horizontal="right" vertical="center"/>
    </xf>
    <xf numFmtId="4" fontId="52" fillId="64" borderId="107" applyNumberFormat="0" applyProtection="0">
      <alignment horizontal="left" vertical="center" indent="1"/>
    </xf>
    <xf numFmtId="4" fontId="259" fillId="33" borderId="107" applyNumberFormat="0" applyProtection="0">
      <alignment horizontal="right" vertical="center"/>
    </xf>
    <xf numFmtId="349" fontId="52" fillId="32" borderId="112" applyNumberFormat="0" applyProtection="0">
      <alignment horizontal="left" vertical="top" indent="1"/>
    </xf>
    <xf numFmtId="4" fontId="257" fillId="61" borderId="112" applyNumberFormat="0" applyProtection="0">
      <alignment horizontal="left" vertical="center" indent="1"/>
    </xf>
    <xf numFmtId="4" fontId="257" fillId="34" borderId="112" applyNumberFormat="0" applyProtection="0">
      <alignment vertical="center"/>
    </xf>
    <xf numFmtId="349" fontId="8" fillId="32" borderId="112" applyNumberFormat="0" applyProtection="0">
      <alignment horizontal="left" vertical="top" indent="1"/>
    </xf>
    <xf numFmtId="349" fontId="52" fillId="32" borderId="107" applyNumberFormat="0" applyProtection="0">
      <alignment horizontal="left" vertical="center" indent="1"/>
    </xf>
    <xf numFmtId="349" fontId="52" fillId="31" borderId="112" applyNumberFormat="0" applyProtection="0">
      <alignment horizontal="left" vertical="top" indent="1"/>
    </xf>
    <xf numFmtId="349" fontId="52" fillId="13" borderId="107" applyNumberFormat="0" applyFont="0" applyAlignment="0" applyProtection="0"/>
    <xf numFmtId="349" fontId="52" fillId="30" borderId="112" applyNumberFormat="0" applyProtection="0">
      <alignment horizontal="left" vertical="top" indent="1"/>
    </xf>
    <xf numFmtId="349" fontId="52" fillId="19" borderId="112" applyNumberFormat="0" applyProtection="0">
      <alignment horizontal="left" vertical="top" indent="1"/>
    </xf>
    <xf numFmtId="349" fontId="253" fillId="127" borderId="107" applyNumberFormat="0" applyAlignment="0" applyProtection="0"/>
    <xf numFmtId="349" fontId="14" fillId="0" borderId="116" applyNumberFormat="0" applyFill="0" applyAlignment="0" applyProtection="0"/>
    <xf numFmtId="349" fontId="14" fillId="0" borderId="116" applyNumberFormat="0" applyFill="0" applyAlignment="0" applyProtection="0"/>
    <xf numFmtId="37" fontId="63" fillId="0" borderId="115" applyNumberFormat="0"/>
    <xf numFmtId="4" fontId="259" fillId="33" borderId="107" applyNumberFormat="0" applyProtection="0">
      <alignment horizontal="right" vertical="center"/>
    </xf>
    <xf numFmtId="4" fontId="258" fillId="35" borderId="113" applyNumberFormat="0" applyProtection="0">
      <alignment horizontal="left" vertical="center" indent="1"/>
    </xf>
    <xf numFmtId="349" fontId="257" fillId="19" borderId="112" applyNumberFormat="0" applyProtection="0">
      <alignment horizontal="left" vertical="top" indent="1"/>
    </xf>
    <xf numFmtId="4" fontId="52" fillId="64" borderId="107" applyNumberFormat="0" applyProtection="0">
      <alignment horizontal="left" vertical="center" indent="1"/>
    </xf>
    <xf numFmtId="4" fontId="255" fillId="50" borderId="107" applyNumberFormat="0" applyProtection="0">
      <alignment horizontal="right" vertical="center"/>
    </xf>
    <xf numFmtId="4" fontId="52" fillId="0" borderId="107" applyNumberFormat="0" applyProtection="0">
      <alignment horizontal="right" vertical="center"/>
    </xf>
    <xf numFmtId="349" fontId="257" fillId="34"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8" fillId="30"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center"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center" indent="1"/>
    </xf>
    <xf numFmtId="349" fontId="52" fillId="83" borderId="107"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349" fontId="52" fillId="61" borderId="107" applyNumberFormat="0" applyProtection="0">
      <alignment horizontal="left" vertical="center" indent="1"/>
    </xf>
    <xf numFmtId="4" fontId="52" fillId="19" borderId="113" applyNumberFormat="0" applyProtection="0">
      <alignment horizontal="left" vertical="center" indent="1"/>
    </xf>
    <xf numFmtId="4" fontId="52" fillId="30" borderId="113" applyNumberFormat="0" applyProtection="0">
      <alignment horizontal="left" vertical="center" indent="1"/>
    </xf>
    <xf numFmtId="4" fontId="52" fillId="19" borderId="107" applyNumberFormat="0" applyProtection="0">
      <alignment horizontal="right" vertical="center"/>
    </xf>
    <xf numFmtId="4" fontId="8" fillId="31" borderId="113" applyNumberFormat="0" applyProtection="0">
      <alignment horizontal="left" vertical="center" indent="1"/>
    </xf>
    <xf numFmtId="4" fontId="8" fillId="31" borderId="113" applyNumberFormat="0" applyProtection="0">
      <alignment horizontal="left" vertical="center" indent="1"/>
    </xf>
    <xf numFmtId="4" fontId="52" fillId="29" borderId="113" applyNumberFormat="0" applyProtection="0">
      <alignment horizontal="left" vertical="center" indent="1"/>
    </xf>
    <xf numFmtId="4" fontId="52" fillId="28" borderId="107" applyNumberFormat="0" applyProtection="0">
      <alignment horizontal="right" vertical="center"/>
    </xf>
    <xf numFmtId="4" fontId="52" fillId="27" borderId="107" applyNumberFormat="0" applyProtection="0">
      <alignment horizontal="right" vertical="center"/>
    </xf>
    <xf numFmtId="4" fontId="52" fillId="26" borderId="107" applyNumberFormat="0" applyProtection="0">
      <alignment horizontal="right" vertical="center"/>
    </xf>
    <xf numFmtId="4" fontId="52" fillId="25" borderId="107" applyNumberFormat="0" applyProtection="0">
      <alignment horizontal="right" vertical="center"/>
    </xf>
    <xf numFmtId="4" fontId="52" fillId="24" borderId="107" applyNumberFormat="0" applyProtection="0">
      <alignment horizontal="right" vertical="center"/>
    </xf>
    <xf numFmtId="4" fontId="52" fillId="23" borderId="107" applyNumberFormat="0" applyProtection="0">
      <alignment horizontal="right" vertical="center"/>
    </xf>
    <xf numFmtId="4" fontId="52" fillId="22" borderId="113" applyNumberFormat="0" applyProtection="0">
      <alignment horizontal="right" vertical="center"/>
    </xf>
    <xf numFmtId="4" fontId="52" fillId="130" borderId="107" applyNumberFormat="0" applyProtection="0">
      <alignment horizontal="right" vertical="center"/>
    </xf>
    <xf numFmtId="4" fontId="52" fillId="20" borderId="107" applyNumberFormat="0" applyProtection="0">
      <alignment horizontal="right" vertical="center"/>
    </xf>
    <xf numFmtId="4" fontId="52" fillId="64" borderId="107" applyNumberFormat="0" applyProtection="0">
      <alignment horizontal="left" vertical="center" indent="1"/>
    </xf>
    <xf numFmtId="349" fontId="256" fillId="18" borderId="112" applyNumberFormat="0" applyProtection="0">
      <alignment horizontal="left" vertical="top" indent="1"/>
    </xf>
    <xf numFmtId="4" fontId="52" fillId="45" borderId="107" applyNumberFormat="0" applyProtection="0">
      <alignment horizontal="left" vertical="center" indent="1"/>
    </xf>
    <xf numFmtId="4" fontId="255" fillId="45" borderId="107" applyNumberFormat="0" applyProtection="0">
      <alignment vertical="center"/>
    </xf>
    <xf numFmtId="4" fontId="52" fillId="18" borderId="107" applyNumberFormat="0" applyProtection="0">
      <alignment vertical="center"/>
    </xf>
    <xf numFmtId="349" fontId="183" fillId="127" borderId="111" applyNumberFormat="0" applyAlignment="0" applyProtection="0"/>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41" fillId="14" borderId="107" applyNumberFormat="0" applyAlignment="0" applyProtection="0"/>
    <xf numFmtId="349" fontId="141" fillId="14" borderId="107" applyNumberFormat="0" applyAlignment="0" applyProtection="0"/>
    <xf numFmtId="349" fontId="253" fillId="127" borderId="107" applyNumberFormat="0" applyAlignment="0" applyProtection="0"/>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8" fillId="19" borderId="112" applyNumberFormat="0" applyProtection="0">
      <alignment horizontal="left" vertical="top" indent="1"/>
    </xf>
    <xf numFmtId="349" fontId="52" fillId="31" borderId="112" applyNumberFormat="0" applyProtection="0">
      <alignment horizontal="left" vertical="top" indent="1"/>
    </xf>
    <xf numFmtId="349" fontId="92" fillId="31" borderId="114" applyBorder="0"/>
    <xf numFmtId="349" fontId="52" fillId="13" borderId="107" applyNumberFormat="0" applyFont="0" applyAlignment="0" applyProtection="0"/>
    <xf numFmtId="349" fontId="52" fillId="30" borderId="112" applyNumberFormat="0" applyProtection="0">
      <alignment horizontal="left" vertical="top" indent="1"/>
    </xf>
    <xf numFmtId="349" fontId="8" fillId="30" borderId="112" applyNumberFormat="0" applyProtection="0">
      <alignment horizontal="left" vertical="center"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8" fillId="30" borderId="112" applyNumberFormat="0" applyProtection="0">
      <alignment horizontal="left" vertical="top" indent="1"/>
    </xf>
    <xf numFmtId="4" fontId="255" fillId="50" borderId="107" applyNumberFormat="0" applyProtection="0">
      <alignment horizontal="right" vertical="center"/>
    </xf>
    <xf numFmtId="4" fontId="52" fillId="64" borderId="107" applyNumberFormat="0" applyProtection="0">
      <alignment horizontal="left" vertical="center" indent="1"/>
    </xf>
    <xf numFmtId="349" fontId="257" fillId="19" borderId="112" applyNumberFormat="0" applyProtection="0">
      <alignment horizontal="left" vertical="top" indent="1"/>
    </xf>
    <xf numFmtId="4" fontId="258" fillId="35" borderId="113" applyNumberFormat="0" applyProtection="0">
      <alignment horizontal="left" vertical="center" indent="1"/>
    </xf>
    <xf numFmtId="37" fontId="63" fillId="0" borderId="115" applyNumberFormat="0"/>
    <xf numFmtId="349" fontId="14" fillId="0" borderId="116" applyNumberFormat="0" applyFill="0" applyAlignment="0" applyProtection="0"/>
    <xf numFmtId="349" fontId="52" fillId="32" borderId="112" applyNumberFormat="0" applyProtection="0">
      <alignment horizontal="left" vertical="top" indent="1"/>
    </xf>
    <xf numFmtId="349" fontId="52" fillId="19" borderId="112" applyNumberFormat="0" applyProtection="0">
      <alignment horizontal="left" vertical="top" indent="1"/>
    </xf>
    <xf numFmtId="4" fontId="52" fillId="23" borderId="107" applyNumberFormat="0" applyProtection="0">
      <alignment horizontal="right" vertical="center"/>
    </xf>
    <xf numFmtId="349" fontId="52" fillId="83" borderId="107" applyNumberFormat="0" applyProtection="0">
      <alignment horizontal="left" vertical="center"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4" fontId="52" fillId="64" borderId="107" applyNumberFormat="0" applyProtection="0">
      <alignment horizontal="left" vertical="center" indent="1"/>
    </xf>
    <xf numFmtId="349" fontId="52" fillId="30" borderId="107" applyNumberFormat="0" applyProtection="0">
      <alignment horizontal="left" vertical="center" indent="1"/>
    </xf>
    <xf numFmtId="210" fontId="63" fillId="0" borderId="28" applyFill="0"/>
    <xf numFmtId="4" fontId="257" fillId="34" borderId="112" applyNumberFormat="0" applyProtection="0">
      <alignment vertical="center"/>
    </xf>
    <xf numFmtId="349" fontId="14" fillId="0" borderId="116" applyNumberFormat="0" applyFill="0" applyAlignment="0" applyProtection="0"/>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349" fontId="52" fillId="61" borderId="107" applyNumberFormat="0" applyProtection="0">
      <alignment horizontal="left" vertical="center" indent="1"/>
    </xf>
    <xf numFmtId="4" fontId="52" fillId="26" borderId="107" applyNumberFormat="0" applyProtection="0">
      <alignment horizontal="right" vertical="center"/>
    </xf>
    <xf numFmtId="4" fontId="52" fillId="25" borderId="107" applyNumberFormat="0" applyProtection="0">
      <alignment horizontal="right" vertical="center"/>
    </xf>
    <xf numFmtId="4" fontId="52" fillId="24" borderId="107" applyNumberFormat="0" applyProtection="0">
      <alignment horizontal="right" vertical="center"/>
    </xf>
    <xf numFmtId="4" fontId="52" fillId="23" borderId="107" applyNumberFormat="0" applyProtection="0">
      <alignment horizontal="right" vertical="center"/>
    </xf>
    <xf numFmtId="4" fontId="52" fillId="18" borderId="107" applyNumberFormat="0" applyProtection="0">
      <alignment vertical="center"/>
    </xf>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141" fillId="14" borderId="107" applyNumberFormat="0" applyAlignment="0" applyProtection="0"/>
    <xf numFmtId="349" fontId="8" fillId="30" borderId="112" applyNumberFormat="0" applyProtection="0">
      <alignment horizontal="left" vertical="center" indent="1"/>
    </xf>
    <xf numFmtId="349" fontId="253" fillId="127" borderId="107" applyNumberFormat="0" applyAlignment="0" applyProtection="0"/>
    <xf numFmtId="349" fontId="52" fillId="30" borderId="107" applyNumberFormat="0" applyProtection="0">
      <alignment horizontal="left" vertical="center" indent="1"/>
    </xf>
    <xf numFmtId="349" fontId="52" fillId="32" borderId="112" applyNumberFormat="0" applyProtection="0">
      <alignment horizontal="left" vertical="top" indent="1"/>
    </xf>
    <xf numFmtId="37" fontId="63" fillId="0" borderId="115" applyNumberFormat="0"/>
    <xf numFmtId="349" fontId="52" fillId="13" borderId="107" applyNumberFormat="0" applyFont="0" applyAlignment="0" applyProtection="0"/>
    <xf numFmtId="4" fontId="258" fillId="35" borderId="113" applyNumberFormat="0" applyProtection="0">
      <alignment horizontal="left" vertical="center" indent="1"/>
    </xf>
    <xf numFmtId="164" fontId="11" fillId="0" borderId="0" applyFont="0" applyFill="0" applyBorder="0" applyAlignment="0" applyProtection="0"/>
    <xf numFmtId="349" fontId="52" fillId="13" borderId="107" applyNumberFormat="0" applyFont="0" applyAlignment="0" applyProtection="0"/>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4" fontId="257" fillId="34" borderId="112" applyNumberFormat="0" applyProtection="0">
      <alignment vertical="center"/>
    </xf>
    <xf numFmtId="4" fontId="259" fillId="33" borderId="107" applyNumberFormat="0" applyProtection="0">
      <alignment horizontal="right" vertical="center"/>
    </xf>
    <xf numFmtId="349" fontId="14" fillId="0" borderId="116" applyNumberFormat="0" applyFill="0" applyAlignment="0" applyProtection="0"/>
    <xf numFmtId="349" fontId="8" fillId="30" borderId="112" applyNumberFormat="0" applyProtection="0">
      <alignment horizontal="left" vertical="top" indent="1"/>
    </xf>
    <xf numFmtId="4" fontId="52" fillId="26" borderId="107" applyNumberFormat="0" applyProtection="0">
      <alignment horizontal="right" vertical="center"/>
    </xf>
    <xf numFmtId="4" fontId="259" fillId="33" borderId="107" applyNumberFormat="0" applyProtection="0">
      <alignment horizontal="right" vertical="center"/>
    </xf>
    <xf numFmtId="349" fontId="14" fillId="0" borderId="116" applyNumberFormat="0" applyFill="0" applyAlignment="0" applyProtection="0"/>
    <xf numFmtId="349" fontId="8" fillId="30" borderId="112" applyNumberFormat="0" applyProtection="0">
      <alignment horizontal="left" vertical="center" indent="1"/>
    </xf>
    <xf numFmtId="349" fontId="52" fillId="19" borderId="112" applyNumberFormat="0" applyProtection="0">
      <alignment horizontal="left" vertical="top" indent="1"/>
    </xf>
    <xf numFmtId="349" fontId="253" fillId="127" borderId="107" applyNumberFormat="0" applyAlignment="0" applyProtection="0"/>
    <xf numFmtId="4" fontId="52" fillId="24" borderId="107" applyNumberFormat="0" applyProtection="0">
      <alignment horizontal="right" vertical="center"/>
    </xf>
    <xf numFmtId="210" fontId="63" fillId="0" borderId="28" applyFill="0"/>
    <xf numFmtId="349" fontId="52" fillId="13" borderId="107" applyNumberFormat="0" applyFont="0" applyAlignment="0" applyProtection="0"/>
    <xf numFmtId="349" fontId="257" fillId="34" borderId="112" applyNumberFormat="0" applyProtection="0">
      <alignment horizontal="left" vertical="top" indent="1"/>
    </xf>
    <xf numFmtId="4" fontId="257" fillId="34" borderId="112" applyNumberFormat="0" applyProtection="0">
      <alignment vertical="center"/>
    </xf>
    <xf numFmtId="349" fontId="52" fillId="13" borderId="107" applyNumberFormat="0" applyFont="0" applyAlignment="0" applyProtection="0"/>
    <xf numFmtId="349" fontId="52" fillId="13" borderId="107" applyNumberFormat="0" applyFont="0" applyAlignment="0" applyProtection="0"/>
    <xf numFmtId="349" fontId="256" fillId="18" borderId="112" applyNumberFormat="0" applyProtection="0">
      <alignment horizontal="left" vertical="top" indent="1"/>
    </xf>
    <xf numFmtId="4" fontId="52" fillId="25" borderId="107" applyNumberFormat="0" applyProtection="0">
      <alignment horizontal="right" vertical="center"/>
    </xf>
    <xf numFmtId="4" fontId="52" fillId="19" borderId="107" applyNumberFormat="0" applyProtection="0">
      <alignment horizontal="right" vertical="center"/>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8" fillId="32" borderId="112" applyNumberFormat="0" applyProtection="0">
      <alignment horizontal="left" vertical="center" indent="1"/>
    </xf>
    <xf numFmtId="349" fontId="141" fillId="14" borderId="107" applyNumberFormat="0" applyAlignment="0" applyProtection="0"/>
    <xf numFmtId="37" fontId="63" fillId="0" borderId="115" applyNumberFormat="0"/>
    <xf numFmtId="349" fontId="52" fillId="30" borderId="107" applyNumberFormat="0" applyProtection="0">
      <alignment horizontal="left" vertical="center"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8" fillId="19" borderId="112" applyNumberFormat="0" applyProtection="0">
      <alignment horizontal="left" vertical="top" indent="1"/>
    </xf>
    <xf numFmtId="349" fontId="52" fillId="31" borderId="112" applyNumberFormat="0" applyProtection="0">
      <alignment horizontal="left" vertical="top" indent="1"/>
    </xf>
    <xf numFmtId="4" fontId="52" fillId="29" borderId="113" applyNumberFormat="0" applyProtection="0">
      <alignment horizontal="left" vertical="center" indent="1"/>
    </xf>
    <xf numFmtId="349" fontId="141" fillId="14" borderId="107" applyNumberFormat="0" applyAlignment="0" applyProtection="0"/>
    <xf numFmtId="4" fontId="255" fillId="50" borderId="107" applyNumberFormat="0" applyProtection="0">
      <alignment horizontal="right" vertical="center"/>
    </xf>
    <xf numFmtId="4" fontId="257" fillId="34" borderId="112" applyNumberFormat="0" applyProtection="0">
      <alignment vertical="center"/>
    </xf>
    <xf numFmtId="349" fontId="52" fillId="30" borderId="112" applyNumberFormat="0" applyProtection="0">
      <alignment horizontal="left" vertical="top" indent="1"/>
    </xf>
    <xf numFmtId="4" fontId="257" fillId="61" borderId="112" applyNumberFormat="0" applyProtection="0">
      <alignment horizontal="left" vertical="center" indent="1"/>
    </xf>
    <xf numFmtId="349" fontId="8" fillId="30" borderId="112" applyNumberFormat="0" applyProtection="0">
      <alignment horizontal="left" vertical="center" indent="1"/>
    </xf>
    <xf numFmtId="4" fontId="52" fillId="64" borderId="107" applyNumberFormat="0" applyProtection="0">
      <alignment horizontal="left" vertical="center" indent="1"/>
    </xf>
    <xf numFmtId="349" fontId="52" fillId="32" borderId="107" applyNumberFormat="0" applyProtection="0">
      <alignment horizontal="left" vertical="center"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8" fillId="32" borderId="112" applyNumberFormat="0" applyProtection="0">
      <alignment horizontal="left" vertical="top" indent="1"/>
    </xf>
    <xf numFmtId="349" fontId="52" fillId="19" borderId="112" applyNumberFormat="0" applyProtection="0">
      <alignment horizontal="left" vertical="top" indent="1"/>
    </xf>
    <xf numFmtId="349" fontId="8" fillId="19" borderId="112" applyNumberFormat="0" applyProtection="0">
      <alignment horizontal="left" vertical="center" indent="1"/>
    </xf>
    <xf numFmtId="349" fontId="52" fillId="31" borderId="112" applyNumberFormat="0" applyProtection="0">
      <alignment horizontal="left" vertical="top" indent="1"/>
    </xf>
    <xf numFmtId="349" fontId="52" fillId="83" borderId="107" applyNumberFormat="0" applyProtection="0">
      <alignment horizontal="left" vertical="center" indent="1"/>
    </xf>
    <xf numFmtId="4" fontId="52" fillId="27" borderId="107" applyNumberFormat="0" applyProtection="0">
      <alignment horizontal="right" vertical="center"/>
    </xf>
    <xf numFmtId="4" fontId="52" fillId="30" borderId="113" applyNumberFormat="0" applyProtection="0">
      <alignment horizontal="left" vertical="center" indent="1"/>
    </xf>
    <xf numFmtId="4" fontId="52" fillId="64" borderId="107" applyNumberFormat="0" applyProtection="0">
      <alignment horizontal="left" vertical="center" indent="1"/>
    </xf>
    <xf numFmtId="4" fontId="52" fillId="27" borderId="107" applyNumberFormat="0" applyProtection="0">
      <alignment horizontal="right" vertical="center"/>
    </xf>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141" fillId="14" borderId="107" applyNumberFormat="0" applyAlignment="0" applyProtection="0"/>
    <xf numFmtId="349" fontId="52" fillId="13" borderId="107" applyNumberFormat="0" applyFont="0" applyAlignment="0" applyProtection="0"/>
    <xf numFmtId="4" fontId="255" fillId="45" borderId="107" applyNumberFormat="0" applyProtection="0">
      <alignment vertical="center"/>
    </xf>
    <xf numFmtId="4" fontId="52" fillId="25" borderId="107" applyNumberFormat="0" applyProtection="0">
      <alignment horizontal="right" vertical="center"/>
    </xf>
    <xf numFmtId="4" fontId="52" fillId="19" borderId="113" applyNumberFormat="0" applyProtection="0">
      <alignment horizontal="left" vertical="center"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164" fontId="11" fillId="0" borderId="0" applyFont="0" applyFill="0" applyBorder="0" applyAlignment="0" applyProtection="0"/>
    <xf numFmtId="4" fontId="52" fillId="23" borderId="107" applyNumberFormat="0" applyProtection="0">
      <alignment horizontal="right" vertical="center"/>
    </xf>
    <xf numFmtId="164" fontId="11" fillId="0" borderId="0" applyFont="0" applyFill="0" applyBorder="0" applyAlignment="0" applyProtection="0"/>
    <xf numFmtId="349" fontId="52" fillId="13" borderId="107" applyNumberFormat="0" applyFont="0" applyAlignment="0" applyProtection="0"/>
    <xf numFmtId="4" fontId="52" fillId="18" borderId="107" applyNumberFormat="0" applyProtection="0">
      <alignment vertical="center"/>
    </xf>
    <xf numFmtId="4" fontId="255" fillId="45" borderId="107" applyNumberFormat="0" applyProtection="0">
      <alignment vertical="center"/>
    </xf>
    <xf numFmtId="4" fontId="52" fillId="25" borderId="107" applyNumberFormat="0" applyProtection="0">
      <alignment horizontal="right" vertical="center"/>
    </xf>
    <xf numFmtId="4" fontId="52" fillId="29" borderId="113" applyNumberFormat="0" applyProtection="0">
      <alignment horizontal="left" vertical="center" indent="1"/>
    </xf>
    <xf numFmtId="4" fontId="52" fillId="130" borderId="107" applyNumberFormat="0" applyProtection="0">
      <alignment horizontal="right" vertical="center"/>
    </xf>
    <xf numFmtId="4" fontId="52" fillId="19" borderId="107" applyNumberFormat="0" applyProtection="0">
      <alignment horizontal="right" vertical="center"/>
    </xf>
    <xf numFmtId="349" fontId="52" fillId="61" borderId="107" applyNumberFormat="0" applyProtection="0">
      <alignment horizontal="left" vertical="center" indent="1"/>
    </xf>
    <xf numFmtId="210" fontId="63" fillId="0" borderId="28" applyFill="0"/>
    <xf numFmtId="349" fontId="52" fillId="32" borderId="112" applyNumberFormat="0" applyProtection="0">
      <alignment horizontal="left" vertical="top" indent="1"/>
    </xf>
    <xf numFmtId="4" fontId="52" fillId="19" borderId="107" applyNumberFormat="0" applyProtection="0">
      <alignment horizontal="right" vertical="center"/>
    </xf>
    <xf numFmtId="349" fontId="183" fillId="127" borderId="111" applyNumberFormat="0" applyAlignment="0" applyProtection="0"/>
    <xf numFmtId="349" fontId="52" fillId="13" borderId="107" applyNumberFormat="0" applyFont="0" applyAlignment="0" applyProtection="0"/>
    <xf numFmtId="349" fontId="183" fillId="127" borderId="111" applyNumberFormat="0" applyAlignment="0" applyProtection="0"/>
    <xf numFmtId="349" fontId="52" fillId="61" borderId="107" applyNumberFormat="0" applyProtection="0">
      <alignment horizontal="left" vertical="center"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center" indent="1"/>
    </xf>
    <xf numFmtId="4" fontId="52" fillId="27" borderId="107" applyNumberFormat="0" applyProtection="0">
      <alignment horizontal="right" vertical="center"/>
    </xf>
    <xf numFmtId="349" fontId="256" fillId="18" borderId="112" applyNumberFormat="0" applyProtection="0">
      <alignment horizontal="left" vertical="top" indent="1"/>
    </xf>
    <xf numFmtId="349" fontId="52" fillId="13" borderId="107" applyNumberFormat="0" applyFont="0" applyAlignment="0" applyProtection="0"/>
    <xf numFmtId="349" fontId="141" fillId="14" borderId="107"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4" fontId="52" fillId="130" borderId="107" applyNumberFormat="0" applyProtection="0">
      <alignment horizontal="right" vertical="center"/>
    </xf>
    <xf numFmtId="4" fontId="52" fillId="45" borderId="107" applyNumberFormat="0" applyProtection="0">
      <alignment horizontal="left" vertical="center" indent="1"/>
    </xf>
    <xf numFmtId="4" fontId="8" fillId="31" borderId="113" applyNumberFormat="0" applyProtection="0">
      <alignment horizontal="left" vertical="center" indent="1"/>
    </xf>
    <xf numFmtId="4" fontId="52" fillId="25" borderId="107" applyNumberFormat="0" applyProtection="0">
      <alignment horizontal="right" vertical="center"/>
    </xf>
    <xf numFmtId="4" fontId="52" fillId="23" borderId="107" applyNumberFormat="0" applyProtection="0">
      <alignment horizontal="right" vertical="center"/>
    </xf>
    <xf numFmtId="349" fontId="52" fillId="31" borderId="112" applyNumberFormat="0" applyProtection="0">
      <alignment horizontal="left" vertical="top" indent="1"/>
    </xf>
    <xf numFmtId="349" fontId="253" fillId="127" borderId="107" applyNumberFormat="0" applyAlignment="0" applyProtection="0"/>
    <xf numFmtId="349" fontId="52" fillId="19" borderId="112" applyNumberFormat="0" applyProtection="0">
      <alignment horizontal="left" vertical="top"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8" fillId="30" borderId="112" applyNumberFormat="0" applyProtection="0">
      <alignment horizontal="left" vertical="top" indent="1"/>
    </xf>
    <xf numFmtId="349" fontId="52" fillId="30" borderId="112" applyNumberFormat="0" applyProtection="0">
      <alignment horizontal="left" vertical="top" indent="1"/>
    </xf>
    <xf numFmtId="4" fontId="52" fillId="0" borderId="107" applyNumberFormat="0" applyProtection="0">
      <alignment horizontal="right" vertical="center"/>
    </xf>
    <xf numFmtId="349" fontId="14" fillId="0" borderId="116" applyNumberFormat="0" applyFill="0" applyAlignment="0" applyProtection="0"/>
    <xf numFmtId="349" fontId="92" fillId="31" borderId="114" applyBorder="0"/>
    <xf numFmtId="349" fontId="52" fillId="30" borderId="112" applyNumberFormat="0" applyProtection="0">
      <alignment horizontal="left" vertical="top" indent="1"/>
    </xf>
    <xf numFmtId="349" fontId="52" fillId="30" borderId="112" applyNumberFormat="0" applyProtection="0">
      <alignment horizontal="left" vertical="top" indent="1"/>
    </xf>
    <xf numFmtId="210" fontId="63" fillId="0" borderId="28" applyFill="0"/>
    <xf numFmtId="349" fontId="52" fillId="30" borderId="112" applyNumberFormat="0" applyProtection="0">
      <alignment horizontal="left" vertical="top" indent="1"/>
    </xf>
    <xf numFmtId="4" fontId="52" fillId="27" borderId="107" applyNumberFormat="0" applyProtection="0">
      <alignment horizontal="right" vertical="center"/>
    </xf>
    <xf numFmtId="4" fontId="52" fillId="19" borderId="113" applyNumberFormat="0" applyProtection="0">
      <alignment horizontal="left" vertical="center" indent="1"/>
    </xf>
    <xf numFmtId="349" fontId="52" fillId="31" borderId="112" applyNumberFormat="0" applyProtection="0">
      <alignment horizontal="left" vertical="top" indent="1"/>
    </xf>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4" fontId="258" fillId="35" borderId="113" applyNumberFormat="0" applyProtection="0">
      <alignment horizontal="left" vertical="center" indent="1"/>
    </xf>
    <xf numFmtId="349" fontId="141" fillId="14" borderId="107" applyNumberFormat="0" applyAlignment="0" applyProtection="0"/>
    <xf numFmtId="349" fontId="8" fillId="32" borderId="112" applyNumberFormat="0" applyProtection="0">
      <alignment horizontal="left" vertical="top" indent="1"/>
    </xf>
    <xf numFmtId="349" fontId="141" fillId="14" borderId="107" applyNumberFormat="0" applyAlignment="0" applyProtection="0"/>
    <xf numFmtId="349" fontId="8" fillId="19" borderId="112" applyNumberFormat="0" applyProtection="0">
      <alignment horizontal="left" vertical="center" indent="1"/>
    </xf>
    <xf numFmtId="349" fontId="52" fillId="31" borderId="112" applyNumberFormat="0" applyProtection="0">
      <alignment horizontal="left" vertical="top" indent="1"/>
    </xf>
    <xf numFmtId="4" fontId="52" fillId="19" borderId="113" applyNumberFormat="0" applyProtection="0">
      <alignment horizontal="left" vertical="center" indent="1"/>
    </xf>
    <xf numFmtId="4" fontId="52" fillId="27" borderId="107" applyNumberFormat="0" applyProtection="0">
      <alignment horizontal="right" vertical="center"/>
    </xf>
    <xf numFmtId="4" fontId="52" fillId="20" borderId="107" applyNumberFormat="0" applyProtection="0">
      <alignment horizontal="right" vertical="center"/>
    </xf>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32" borderId="107" applyNumberFormat="0" applyProtection="0">
      <alignment horizontal="left" vertical="center" indent="1"/>
    </xf>
    <xf numFmtId="4" fontId="52" fillId="130" borderId="107" applyNumberFormat="0" applyProtection="0">
      <alignment horizontal="right" vertical="center"/>
    </xf>
    <xf numFmtId="349" fontId="52" fillId="30" borderId="112" applyNumberFormat="0" applyProtection="0">
      <alignment horizontal="left" vertical="top" indent="1"/>
    </xf>
    <xf numFmtId="4" fontId="52" fillId="30" borderId="113" applyNumberFormat="0" applyProtection="0">
      <alignment horizontal="left" vertical="center" indent="1"/>
    </xf>
    <xf numFmtId="349" fontId="52" fillId="31" borderId="112" applyNumberFormat="0" applyProtection="0">
      <alignment horizontal="left" vertical="top" indent="1"/>
    </xf>
    <xf numFmtId="349" fontId="52" fillId="83" borderId="107" applyNumberFormat="0" applyProtection="0">
      <alignment horizontal="left" vertical="center"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257" fillId="19" borderId="112" applyNumberFormat="0" applyProtection="0">
      <alignment horizontal="left" vertical="top" indent="1"/>
    </xf>
    <xf numFmtId="4" fontId="52" fillId="0" borderId="107" applyNumberFormat="0" applyProtection="0">
      <alignment horizontal="right" vertical="center"/>
    </xf>
    <xf numFmtId="349" fontId="8" fillId="32" borderId="112" applyNumberFormat="0" applyProtection="0">
      <alignment horizontal="left" vertical="top" indent="1"/>
    </xf>
    <xf numFmtId="37" fontId="63" fillId="0" borderId="115" applyNumberFormat="0"/>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4" fontId="52" fillId="19" borderId="113" applyNumberFormat="0" applyProtection="0">
      <alignment horizontal="left" vertical="center" indent="1"/>
    </xf>
    <xf numFmtId="4" fontId="52" fillId="22" borderId="113" applyNumberFormat="0" applyProtection="0">
      <alignment horizontal="right" vertical="center"/>
    </xf>
    <xf numFmtId="349" fontId="253" fillId="127" borderId="107" applyNumberFormat="0" applyAlignment="0" applyProtection="0"/>
    <xf numFmtId="349" fontId="52" fillId="32" borderId="112" applyNumberFormat="0" applyProtection="0">
      <alignment horizontal="left" vertical="top" indent="1"/>
    </xf>
    <xf numFmtId="349" fontId="52" fillId="13" borderId="107" applyNumberFormat="0" applyFont="0" applyAlignment="0" applyProtection="0"/>
    <xf numFmtId="349" fontId="52" fillId="13" borderId="107" applyNumberFormat="0" applyFont="0" applyAlignment="0" applyProtection="0"/>
    <xf numFmtId="349" fontId="52" fillId="19" borderId="112" applyNumberFormat="0" applyProtection="0">
      <alignment horizontal="left" vertical="top" indent="1"/>
    </xf>
    <xf numFmtId="349" fontId="8" fillId="31" borderId="112" applyNumberFormat="0" applyProtection="0">
      <alignment horizontal="left" vertical="center" indent="1"/>
    </xf>
    <xf numFmtId="349" fontId="8" fillId="19" borderId="112" applyNumberFormat="0" applyProtection="0">
      <alignment horizontal="left" vertical="top" indent="1"/>
    </xf>
    <xf numFmtId="349" fontId="52" fillId="31" borderId="112" applyNumberFormat="0" applyProtection="0">
      <alignment horizontal="left" vertical="top" indent="1"/>
    </xf>
    <xf numFmtId="4" fontId="52" fillId="0" borderId="107" applyNumberFormat="0" applyProtection="0">
      <alignment horizontal="right" vertical="center"/>
    </xf>
    <xf numFmtId="349" fontId="52" fillId="13" borderId="107" applyNumberFormat="0" applyFont="0" applyAlignment="0" applyProtection="0"/>
    <xf numFmtId="4" fontId="52" fillId="23" borderId="107" applyNumberFormat="0" applyProtection="0">
      <alignment horizontal="right" vertical="center"/>
    </xf>
    <xf numFmtId="4" fontId="52" fillId="23" borderId="107" applyNumberFormat="0" applyProtection="0">
      <alignment horizontal="right" vertical="center"/>
    </xf>
    <xf numFmtId="4" fontId="52" fillId="28" borderId="107" applyNumberFormat="0" applyProtection="0">
      <alignment horizontal="right" vertical="center"/>
    </xf>
    <xf numFmtId="349" fontId="52" fillId="61" borderId="107" applyNumberFormat="0" applyProtection="0">
      <alignment horizontal="left" vertical="center"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4" fontId="259" fillId="33" borderId="107" applyNumberFormat="0" applyProtection="0">
      <alignment horizontal="right" vertical="center"/>
    </xf>
    <xf numFmtId="4" fontId="52" fillId="64" borderId="107" applyNumberFormat="0" applyProtection="0">
      <alignment horizontal="left" vertical="center" indent="1"/>
    </xf>
    <xf numFmtId="349" fontId="52" fillId="30" borderId="112" applyNumberFormat="0" applyProtection="0">
      <alignment horizontal="left" vertical="top" indent="1"/>
    </xf>
    <xf numFmtId="4" fontId="258" fillId="35" borderId="113" applyNumberFormat="0" applyProtection="0">
      <alignment horizontal="left" vertical="center"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4" fontId="52" fillId="19" borderId="107" applyNumberFormat="0" applyProtection="0">
      <alignment horizontal="right" vertical="center"/>
    </xf>
    <xf numFmtId="4" fontId="52" fillId="20" borderId="107" applyNumberFormat="0" applyProtection="0">
      <alignment horizontal="right" vertical="center"/>
    </xf>
    <xf numFmtId="349" fontId="52" fillId="30" borderId="112" applyNumberFormat="0" applyProtection="0">
      <alignment horizontal="left" vertical="top" indent="1"/>
    </xf>
    <xf numFmtId="349" fontId="52" fillId="31" borderId="112" applyNumberFormat="0" applyProtection="0">
      <alignment horizontal="left" vertical="top" indent="1"/>
    </xf>
    <xf numFmtId="349" fontId="52" fillId="13" borderId="107" applyNumberFormat="0" applyFont="0" applyAlignment="0" applyProtection="0"/>
    <xf numFmtId="349" fontId="52" fillId="13" borderId="107" applyNumberFormat="0" applyFont="0" applyAlignment="0" applyProtection="0"/>
    <xf numFmtId="4" fontId="52" fillId="64" borderId="107" applyNumberFormat="0" applyProtection="0">
      <alignment horizontal="left" vertical="center" indent="1"/>
    </xf>
    <xf numFmtId="349" fontId="52" fillId="30" borderId="112" applyNumberFormat="0" applyProtection="0">
      <alignment horizontal="left" vertical="top" indent="1"/>
    </xf>
    <xf numFmtId="349" fontId="52" fillId="19" borderId="112" applyNumberFormat="0" applyProtection="0">
      <alignment horizontal="left" vertical="top" indent="1"/>
    </xf>
    <xf numFmtId="4" fontId="8" fillId="31" borderId="113" applyNumberFormat="0" applyProtection="0">
      <alignment horizontal="left" vertical="center" indent="1"/>
    </xf>
    <xf numFmtId="349" fontId="183" fillId="127" borderId="111" applyNumberFormat="0" applyAlignment="0" applyProtection="0"/>
    <xf numFmtId="164" fontId="11" fillId="0" borderId="0" applyFont="0" applyFill="0" applyBorder="0" applyAlignment="0" applyProtection="0"/>
    <xf numFmtId="349" fontId="256" fillId="18" borderId="112" applyNumberFormat="0" applyProtection="0">
      <alignment horizontal="left" vertical="top" indent="1"/>
    </xf>
    <xf numFmtId="4" fontId="52" fillId="27" borderId="107" applyNumberFormat="0" applyProtection="0">
      <alignment horizontal="right" vertical="center"/>
    </xf>
    <xf numFmtId="4" fontId="52" fillId="19" borderId="113" applyNumberFormat="0" applyProtection="0">
      <alignment horizontal="left" vertical="center" indent="1"/>
    </xf>
    <xf numFmtId="349" fontId="8" fillId="31" borderId="112" applyNumberFormat="0" applyProtection="0">
      <alignment horizontal="left" vertical="top" indent="1"/>
    </xf>
    <xf numFmtId="349" fontId="52" fillId="32" borderId="112" applyNumberFormat="0" applyProtection="0">
      <alignment horizontal="left" vertical="top" indent="1"/>
    </xf>
    <xf numFmtId="349" fontId="52" fillId="32" borderId="107" applyNumberFormat="0" applyProtection="0">
      <alignment horizontal="left" vertical="center" indent="1"/>
    </xf>
    <xf numFmtId="349" fontId="8" fillId="19" borderId="112" applyNumberFormat="0" applyProtection="0">
      <alignment horizontal="left" vertical="center" indent="1"/>
    </xf>
    <xf numFmtId="349" fontId="52" fillId="31" borderId="112" applyNumberFormat="0" applyProtection="0">
      <alignment horizontal="left" vertical="top" indent="1"/>
    </xf>
    <xf numFmtId="4" fontId="8" fillId="31" borderId="113" applyNumberFormat="0" applyProtection="0">
      <alignment horizontal="left" vertical="center" indent="1"/>
    </xf>
    <xf numFmtId="4" fontId="52" fillId="130" borderId="107" applyNumberFormat="0" applyProtection="0">
      <alignment horizontal="right" vertical="center"/>
    </xf>
    <xf numFmtId="349" fontId="52" fillId="13" borderId="107" applyNumberFormat="0" applyFont="0" applyAlignment="0" applyProtection="0"/>
    <xf numFmtId="349" fontId="253" fillId="127" borderId="107" applyNumberFormat="0" applyAlignment="0" applyProtection="0"/>
    <xf numFmtId="349" fontId="141" fillId="14" borderId="107"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4" fontId="255" fillId="45" borderId="107" applyNumberFormat="0" applyProtection="0">
      <alignment vertical="center"/>
    </xf>
    <xf numFmtId="4" fontId="52" fillId="19" borderId="107" applyNumberFormat="0" applyProtection="0">
      <alignment horizontal="right" vertical="center"/>
    </xf>
    <xf numFmtId="4" fontId="52" fillId="130" borderId="107" applyNumberFormat="0" applyProtection="0">
      <alignment horizontal="right" vertical="center"/>
    </xf>
    <xf numFmtId="349" fontId="52" fillId="31" borderId="112" applyNumberFormat="0" applyProtection="0">
      <alignment horizontal="left" vertical="top" indent="1"/>
    </xf>
    <xf numFmtId="4" fontId="52" fillId="29" borderId="113" applyNumberFormat="0" applyProtection="0">
      <alignment horizontal="left" vertical="center" indent="1"/>
    </xf>
    <xf numFmtId="4" fontId="52" fillId="26" borderId="107" applyNumberFormat="0" applyProtection="0">
      <alignment horizontal="right" vertical="center"/>
    </xf>
    <xf numFmtId="349" fontId="52" fillId="31"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52" fillId="30" borderId="112" applyNumberFormat="0" applyProtection="0">
      <alignment horizontal="left" vertical="top" indent="1"/>
    </xf>
    <xf numFmtId="4" fontId="257" fillId="34" borderId="112" applyNumberFormat="0" applyProtection="0">
      <alignment vertical="center"/>
    </xf>
    <xf numFmtId="4" fontId="258" fillId="35" borderId="113" applyNumberFormat="0" applyProtection="0">
      <alignment horizontal="left" vertical="center" indent="1"/>
    </xf>
    <xf numFmtId="349" fontId="52" fillId="19" borderId="112" applyNumberFormat="0" applyProtection="0">
      <alignment horizontal="left" vertical="top" indent="1"/>
    </xf>
    <xf numFmtId="4" fontId="52" fillId="64" borderId="107" applyNumberFormat="0" applyProtection="0">
      <alignment horizontal="left" vertical="center" indent="1"/>
    </xf>
    <xf numFmtId="349" fontId="52" fillId="30" borderId="112" applyNumberFormat="0" applyProtection="0">
      <alignment horizontal="left" vertical="top" indent="1"/>
    </xf>
    <xf numFmtId="4" fontId="52" fillId="0" borderId="107" applyNumberFormat="0" applyProtection="0">
      <alignment horizontal="right" vertical="center"/>
    </xf>
    <xf numFmtId="349" fontId="253" fillId="127" borderId="107" applyNumberFormat="0" applyAlignment="0" applyProtection="0"/>
    <xf numFmtId="349" fontId="52" fillId="13" borderId="107" applyNumberFormat="0" applyFont="0" applyAlignment="0" applyProtection="0"/>
    <xf numFmtId="4" fontId="8" fillId="31" borderId="113" applyNumberFormat="0" applyProtection="0">
      <alignment horizontal="left" vertical="center"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14" fillId="0" borderId="116" applyNumberFormat="0" applyFill="0" applyAlignment="0" applyProtection="0"/>
    <xf numFmtId="349" fontId="52" fillId="13" borderId="107" applyNumberFormat="0" applyFont="0" applyAlignment="0" applyProtection="0"/>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4" fontId="8" fillId="31" borderId="113" applyNumberFormat="0" applyProtection="0">
      <alignment horizontal="left" vertical="center" indent="1"/>
    </xf>
    <xf numFmtId="4" fontId="52" fillId="23" borderId="107" applyNumberFormat="0" applyProtection="0">
      <alignment horizontal="right" vertical="center"/>
    </xf>
    <xf numFmtId="4" fontId="255" fillId="45" borderId="107" applyNumberFormat="0" applyProtection="0">
      <alignment vertical="center"/>
    </xf>
    <xf numFmtId="349" fontId="52" fillId="13" borderId="107" applyNumberFormat="0" applyFont="0" applyAlignment="0" applyProtection="0"/>
    <xf numFmtId="349" fontId="253" fillId="127" borderId="107" applyNumberFormat="0" applyAlignment="0" applyProtection="0"/>
    <xf numFmtId="4" fontId="52" fillId="130" borderId="107" applyNumberFormat="0" applyProtection="0">
      <alignment horizontal="right" vertical="center"/>
    </xf>
    <xf numFmtId="349" fontId="52" fillId="13" borderId="107" applyNumberFormat="0" applyFont="0" applyAlignment="0" applyProtection="0"/>
    <xf numFmtId="349" fontId="257" fillId="34" borderId="112" applyNumberFormat="0" applyProtection="0">
      <alignment horizontal="left" vertical="top" indent="1"/>
    </xf>
    <xf numFmtId="4" fontId="52" fillId="25" borderId="107" applyNumberFormat="0" applyProtection="0">
      <alignment horizontal="right" vertical="center"/>
    </xf>
    <xf numFmtId="4" fontId="8" fillId="31" borderId="113" applyNumberFormat="0" applyProtection="0">
      <alignment horizontal="left" vertical="center"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8" fillId="30" borderId="112" applyNumberFormat="0" applyProtection="0">
      <alignment horizontal="left" vertical="center"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14" fillId="0" borderId="116" applyNumberFormat="0" applyFill="0" applyAlignment="0" applyProtection="0"/>
    <xf numFmtId="349" fontId="52" fillId="32" borderId="112" applyNumberFormat="0" applyProtection="0">
      <alignment horizontal="left" vertical="top" indent="1"/>
    </xf>
    <xf numFmtId="349" fontId="253" fillId="127" borderId="107" applyNumberFormat="0" applyAlignment="0" applyProtection="0"/>
    <xf numFmtId="4" fontId="52" fillId="0" borderId="107" applyNumberFormat="0" applyProtection="0">
      <alignment horizontal="right" vertical="center"/>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83" borderId="107" applyNumberFormat="0" applyProtection="0">
      <alignment horizontal="left" vertical="center" indent="1"/>
    </xf>
    <xf numFmtId="349" fontId="8" fillId="31" borderId="112" applyNumberFormat="0" applyProtection="0">
      <alignment horizontal="left" vertical="top" indent="1"/>
    </xf>
    <xf numFmtId="4" fontId="52" fillId="28" borderId="107" applyNumberFormat="0" applyProtection="0">
      <alignment horizontal="right" vertical="center"/>
    </xf>
    <xf numFmtId="349" fontId="256" fillId="18" borderId="112" applyNumberFormat="0" applyProtection="0">
      <alignment horizontal="left" vertical="top" indent="1"/>
    </xf>
    <xf numFmtId="349" fontId="92" fillId="31" borderId="114" applyBorder="0"/>
    <xf numFmtId="349" fontId="52" fillId="32" borderId="107" applyNumberFormat="0" applyProtection="0">
      <alignment horizontal="left" vertical="center" indent="1"/>
    </xf>
    <xf numFmtId="349" fontId="141" fillId="14" borderId="107" applyNumberFormat="0" applyAlignment="0" applyProtection="0"/>
    <xf numFmtId="4" fontId="257" fillId="61" borderId="112" applyNumberFormat="0" applyProtection="0">
      <alignment horizontal="left" vertical="center" indent="1"/>
    </xf>
    <xf numFmtId="349" fontId="52" fillId="13" borderId="107" applyNumberFormat="0" applyFont="0" applyAlignment="0" applyProtection="0"/>
    <xf numFmtId="349" fontId="253" fillId="127" borderId="107" applyNumberFormat="0" applyAlignment="0" applyProtection="0"/>
    <xf numFmtId="4" fontId="52" fillId="45" borderId="107" applyNumberFormat="0" applyProtection="0">
      <alignment horizontal="left" vertical="center" indent="1"/>
    </xf>
    <xf numFmtId="4" fontId="52" fillId="24" borderId="107" applyNumberFormat="0" applyProtection="0">
      <alignment horizontal="right" vertical="center"/>
    </xf>
    <xf numFmtId="4" fontId="8" fillId="31" borderId="113" applyNumberFormat="0" applyProtection="0">
      <alignment horizontal="left" vertical="center" indent="1"/>
    </xf>
    <xf numFmtId="349" fontId="8" fillId="31" borderId="112" applyNumberFormat="0" applyProtection="0">
      <alignment horizontal="left" vertical="top"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52" fillId="32" borderId="107" applyNumberFormat="0" applyProtection="0">
      <alignment horizontal="left" vertical="center" indent="1"/>
    </xf>
    <xf numFmtId="349" fontId="14" fillId="0" borderId="116" applyNumberFormat="0" applyFill="0" applyAlignment="0" applyProtection="0"/>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4" fontId="8" fillId="31" borderId="113" applyNumberFormat="0" applyProtection="0">
      <alignment horizontal="left" vertical="center" indent="1"/>
    </xf>
    <xf numFmtId="4" fontId="52" fillId="64" borderId="107" applyNumberFormat="0" applyProtection="0">
      <alignment horizontal="left" vertical="center" indent="1"/>
    </xf>
    <xf numFmtId="349" fontId="257" fillId="34" borderId="112" applyNumberFormat="0" applyProtection="0">
      <alignment horizontal="left" vertical="top" indent="1"/>
    </xf>
    <xf numFmtId="349" fontId="52" fillId="30" borderId="112" applyNumberFormat="0" applyProtection="0">
      <alignment horizontal="left" vertical="top" indent="1"/>
    </xf>
    <xf numFmtId="349" fontId="257" fillId="34" borderId="112" applyNumberFormat="0" applyProtection="0">
      <alignment horizontal="left" vertical="top" indent="1"/>
    </xf>
    <xf numFmtId="349" fontId="52" fillId="32" borderId="112" applyNumberFormat="0" applyProtection="0">
      <alignment horizontal="left" vertical="top" indent="1"/>
    </xf>
    <xf numFmtId="349" fontId="257" fillId="19" borderId="112" applyNumberFormat="0" applyProtection="0">
      <alignment horizontal="left" vertical="top" indent="1"/>
    </xf>
    <xf numFmtId="349" fontId="92" fillId="31" borderId="114" applyBorder="0"/>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210" fontId="63" fillId="0" borderId="28" applyFill="0"/>
    <xf numFmtId="4" fontId="52" fillId="28" borderId="107" applyNumberFormat="0" applyProtection="0">
      <alignment horizontal="right" vertical="center"/>
    </xf>
    <xf numFmtId="4" fontId="52" fillId="19" borderId="113" applyNumberFormat="0" applyProtection="0">
      <alignment horizontal="left" vertical="center" indent="1"/>
    </xf>
    <xf numFmtId="4" fontId="52" fillId="20" borderId="107" applyNumberFormat="0" applyProtection="0">
      <alignment horizontal="right" vertical="center"/>
    </xf>
    <xf numFmtId="4" fontId="52" fillId="28" borderId="107" applyNumberFormat="0" applyProtection="0">
      <alignment horizontal="right" vertical="center"/>
    </xf>
    <xf numFmtId="349" fontId="183" fillId="127" borderId="111"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141" fillId="14" borderId="107" applyNumberFormat="0" applyAlignment="0" applyProtection="0"/>
    <xf numFmtId="349" fontId="52" fillId="13" borderId="107" applyNumberFormat="0" applyFont="0" applyAlignment="0" applyProtection="0"/>
    <xf numFmtId="4" fontId="52" fillId="18" borderId="107" applyNumberFormat="0" applyProtection="0">
      <alignment vertical="center"/>
    </xf>
    <xf numFmtId="4" fontId="52" fillId="24" borderId="107" applyNumberFormat="0" applyProtection="0">
      <alignment horizontal="right" vertical="center"/>
    </xf>
    <xf numFmtId="4" fontId="52" fillId="30" borderId="113" applyNumberFormat="0" applyProtection="0">
      <alignment horizontal="left" vertical="center"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8" fillId="32" borderId="112" applyNumberFormat="0" applyProtection="0">
      <alignment horizontal="left" vertical="center" indent="1"/>
    </xf>
    <xf numFmtId="349" fontId="52" fillId="32" borderId="112" applyNumberFormat="0" applyProtection="0">
      <alignment horizontal="left" vertical="top" indent="1"/>
    </xf>
    <xf numFmtId="349" fontId="52" fillId="31" borderId="112" applyNumberFormat="0" applyProtection="0">
      <alignment horizontal="left" vertical="top" indent="1"/>
    </xf>
    <xf numFmtId="4" fontId="52" fillId="24" borderId="107" applyNumberFormat="0" applyProtection="0">
      <alignment horizontal="right" vertical="center"/>
    </xf>
    <xf numFmtId="4" fontId="52" fillId="18" borderId="107" applyNumberFormat="0" applyProtection="0">
      <alignment vertical="center"/>
    </xf>
    <xf numFmtId="4" fontId="52" fillId="64" borderId="107" applyNumberFormat="0" applyProtection="0">
      <alignment horizontal="left" vertical="center" indent="1"/>
    </xf>
    <xf numFmtId="4" fontId="52" fillId="45" borderId="107" applyNumberFormat="0" applyProtection="0">
      <alignment horizontal="left" vertical="center" indent="1"/>
    </xf>
    <xf numFmtId="4" fontId="52" fillId="26" borderId="107" applyNumberFormat="0" applyProtection="0">
      <alignment horizontal="right" vertical="center"/>
    </xf>
    <xf numFmtId="4" fontId="8" fillId="31" borderId="113" applyNumberFormat="0" applyProtection="0">
      <alignment horizontal="left" vertical="center" indent="1"/>
    </xf>
    <xf numFmtId="4" fontId="52" fillId="22" borderId="113" applyNumberFormat="0" applyProtection="0">
      <alignment horizontal="right" vertical="center"/>
    </xf>
    <xf numFmtId="4" fontId="52" fillId="30" borderId="113" applyNumberFormat="0" applyProtection="0">
      <alignment horizontal="left" vertical="center" indent="1"/>
    </xf>
    <xf numFmtId="349" fontId="8" fillId="31" borderId="112" applyNumberFormat="0" applyProtection="0">
      <alignment horizontal="left" vertical="center" indent="1"/>
    </xf>
    <xf numFmtId="349" fontId="52" fillId="32" borderId="112" applyNumberFormat="0" applyProtection="0">
      <alignment horizontal="left" vertical="top" indent="1"/>
    </xf>
    <xf numFmtId="4" fontId="8" fillId="31" borderId="113" applyNumberFormat="0" applyProtection="0">
      <alignment horizontal="left" vertical="center" indent="1"/>
    </xf>
    <xf numFmtId="349" fontId="183" fillId="127" borderId="111" applyNumberFormat="0" applyAlignment="0" applyProtection="0"/>
    <xf numFmtId="349" fontId="52" fillId="13" borderId="107" applyNumberFormat="0" applyFont="0" applyAlignment="0" applyProtection="0"/>
    <xf numFmtId="4" fontId="52" fillId="18" borderId="107" applyNumberFormat="0" applyProtection="0">
      <alignment vertical="center"/>
    </xf>
    <xf numFmtId="349" fontId="8" fillId="31" borderId="112" applyNumberFormat="0" applyProtection="0">
      <alignment horizontal="left" vertical="center" indent="1"/>
    </xf>
    <xf numFmtId="349" fontId="52" fillId="30" borderId="112" applyNumberFormat="0" applyProtection="0">
      <alignment horizontal="left" vertical="top" indent="1"/>
    </xf>
    <xf numFmtId="349" fontId="8" fillId="32"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349" fontId="52" fillId="61" borderId="107" applyNumberFormat="0" applyProtection="0">
      <alignment horizontal="left" vertical="center" indent="1"/>
    </xf>
    <xf numFmtId="4" fontId="52" fillId="26" borderId="107" applyNumberFormat="0" applyProtection="0">
      <alignment horizontal="right" vertical="center"/>
    </xf>
    <xf numFmtId="4" fontId="52" fillId="45" borderId="107" applyNumberFormat="0" applyProtection="0">
      <alignment horizontal="left" vertical="center" indent="1"/>
    </xf>
    <xf numFmtId="349" fontId="52" fillId="13" borderId="107" applyNumberFormat="0" applyFont="0" applyAlignment="0" applyProtection="0"/>
    <xf numFmtId="349" fontId="141" fillId="14" borderId="107" applyNumberForma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4" fontId="52" fillId="25" borderId="107" applyNumberFormat="0" applyProtection="0">
      <alignment horizontal="right" vertical="center"/>
    </xf>
    <xf numFmtId="349" fontId="256" fillId="18" borderId="112" applyNumberFormat="0" applyProtection="0">
      <alignment horizontal="left" vertical="top" indent="1"/>
    </xf>
    <xf numFmtId="4" fontId="52" fillId="19" borderId="107" applyNumberFormat="0" applyProtection="0">
      <alignment horizontal="right" vertical="center"/>
    </xf>
    <xf numFmtId="4" fontId="52" fillId="26" borderId="107" applyNumberFormat="0" applyProtection="0">
      <alignment horizontal="right" vertical="center"/>
    </xf>
    <xf numFmtId="4" fontId="52" fillId="24" borderId="107" applyNumberFormat="0" applyProtection="0">
      <alignment horizontal="right" vertical="center"/>
    </xf>
    <xf numFmtId="349" fontId="52" fillId="31" borderId="112" applyNumberFormat="0" applyProtection="0">
      <alignment horizontal="left" vertical="top" indent="1"/>
    </xf>
    <xf numFmtId="349" fontId="253" fillId="127" borderId="107" applyNumberFormat="0" applyAlignment="0" applyProtection="0"/>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4" fontId="255" fillId="50" borderId="107" applyNumberFormat="0" applyProtection="0">
      <alignment horizontal="right" vertical="center"/>
    </xf>
    <xf numFmtId="349" fontId="14" fillId="0" borderId="116" applyNumberFormat="0" applyFill="0" applyAlignment="0" applyProtection="0"/>
    <xf numFmtId="4" fontId="257" fillId="34" borderId="112" applyNumberFormat="0" applyProtection="0">
      <alignment vertical="center"/>
    </xf>
    <xf numFmtId="349" fontId="52" fillId="30" borderId="112" applyNumberFormat="0" applyProtection="0">
      <alignment horizontal="left" vertical="top" indent="1"/>
    </xf>
    <xf numFmtId="349" fontId="92" fillId="31" borderId="114" applyBorder="0"/>
    <xf numFmtId="4" fontId="52" fillId="0" borderId="107" applyNumberFormat="0" applyProtection="0">
      <alignment horizontal="right" vertical="center"/>
    </xf>
    <xf numFmtId="349" fontId="52" fillId="30" borderId="112" applyNumberFormat="0" applyProtection="0">
      <alignment horizontal="left" vertical="top" indent="1"/>
    </xf>
    <xf numFmtId="4" fontId="52" fillId="28" borderId="107" applyNumberFormat="0" applyProtection="0">
      <alignment horizontal="right" vertical="center"/>
    </xf>
    <xf numFmtId="349" fontId="52" fillId="61" borderId="107" applyNumberFormat="0" applyProtection="0">
      <alignment horizontal="left" vertical="center"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4" fontId="259" fillId="33" borderId="107" applyNumberFormat="0" applyProtection="0">
      <alignment horizontal="right" vertical="center"/>
    </xf>
    <xf numFmtId="349" fontId="141" fillId="14" borderId="107" applyNumberFormat="0" applyAlignment="0" applyProtection="0"/>
    <xf numFmtId="349" fontId="52" fillId="32" borderId="112" applyNumberFormat="0" applyProtection="0">
      <alignment horizontal="left" vertical="top" indent="1"/>
    </xf>
    <xf numFmtId="349" fontId="141" fillId="14" borderId="107" applyNumberFormat="0" applyAlignment="0" applyProtection="0"/>
    <xf numFmtId="349" fontId="52" fillId="83" borderId="107" applyNumberFormat="0" applyProtection="0">
      <alignment horizontal="left" vertical="center" indent="1"/>
    </xf>
    <xf numFmtId="349" fontId="52" fillId="31" borderId="112" applyNumberFormat="0" applyProtection="0">
      <alignment horizontal="left" vertical="top" indent="1"/>
    </xf>
    <xf numFmtId="4" fontId="52" fillId="30" borderId="113" applyNumberFormat="0" applyProtection="0">
      <alignment horizontal="left" vertical="center" indent="1"/>
    </xf>
    <xf numFmtId="4" fontId="52" fillId="26" borderId="107" applyNumberFormat="0" applyProtection="0">
      <alignment horizontal="right" vertical="center"/>
    </xf>
    <xf numFmtId="4" fontId="52" fillId="64" borderId="107" applyNumberFormat="0" applyProtection="0">
      <alignment horizontal="left" vertical="center" indent="1"/>
    </xf>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52" fillId="13" borderId="107" applyNumberFormat="0" applyFont="0" applyAlignment="0" applyProtection="0"/>
    <xf numFmtId="349" fontId="92" fillId="31" borderId="114" applyBorder="0"/>
    <xf numFmtId="4" fontId="52" fillId="22" borderId="113" applyNumberFormat="0" applyProtection="0">
      <alignment horizontal="right" vertical="center"/>
    </xf>
    <xf numFmtId="349" fontId="52" fillId="30" borderId="112" applyNumberFormat="0" applyProtection="0">
      <alignment horizontal="left" vertical="top" indent="1"/>
    </xf>
    <xf numFmtId="4" fontId="52" fillId="19" borderId="113" applyNumberFormat="0" applyProtection="0">
      <alignment horizontal="left" vertical="center" indent="1"/>
    </xf>
    <xf numFmtId="349" fontId="52" fillId="31" borderId="112" applyNumberFormat="0" applyProtection="0">
      <alignment horizontal="left" vertical="top" indent="1"/>
    </xf>
    <xf numFmtId="349" fontId="8" fillId="19" borderId="112" applyNumberFormat="0" applyProtection="0">
      <alignment horizontal="left" vertical="center" indent="1"/>
    </xf>
    <xf numFmtId="349" fontId="52" fillId="19" borderId="112" applyNumberFormat="0" applyProtection="0">
      <alignment horizontal="left" vertical="top" indent="1"/>
    </xf>
    <xf numFmtId="349" fontId="8" fillId="32"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4" fontId="258" fillId="35" borderId="113" applyNumberFormat="0" applyProtection="0">
      <alignment horizontal="left" vertical="center" indent="1"/>
    </xf>
    <xf numFmtId="4" fontId="255" fillId="50" borderId="107" applyNumberFormat="0" applyProtection="0">
      <alignment horizontal="right" vertical="center"/>
    </xf>
    <xf numFmtId="349" fontId="52" fillId="13" borderId="107" applyNumberFormat="0" applyFont="0" applyAlignment="0" applyProtection="0"/>
    <xf numFmtId="4" fontId="259" fillId="33" borderId="107" applyNumberFormat="0" applyProtection="0">
      <alignment horizontal="right" vertical="center"/>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4" fontId="52" fillId="30" borderId="113" applyNumberFormat="0" applyProtection="0">
      <alignment horizontal="left" vertical="center" indent="1"/>
    </xf>
    <xf numFmtId="4" fontId="52" fillId="130" borderId="107" applyNumberFormat="0" applyProtection="0">
      <alignment horizontal="right" vertical="center"/>
    </xf>
    <xf numFmtId="349" fontId="52" fillId="32" borderId="112" applyNumberFormat="0" applyProtection="0">
      <alignment horizontal="left" vertical="top" indent="1"/>
    </xf>
    <xf numFmtId="349" fontId="52" fillId="13" borderId="107" applyNumberFormat="0" applyFont="0" applyAlignment="0" applyProtection="0"/>
    <xf numFmtId="349" fontId="52" fillId="13" borderId="107" applyNumberFormat="0" applyFont="0" applyAlignment="0" applyProtection="0"/>
    <xf numFmtId="349" fontId="52" fillId="32" borderId="107" applyNumberFormat="0" applyProtection="0">
      <alignment horizontal="left" vertical="center"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4" fontId="255" fillId="50" borderId="107" applyNumberFormat="0" applyProtection="0">
      <alignment horizontal="right" vertical="center"/>
    </xf>
    <xf numFmtId="349" fontId="52" fillId="13" borderId="107" applyNumberFormat="0" applyFont="0" applyAlignment="0" applyProtection="0"/>
    <xf numFmtId="4" fontId="52" fillId="22" borderId="113" applyNumberFormat="0" applyProtection="0">
      <alignment horizontal="right" vertical="center"/>
    </xf>
    <xf numFmtId="4" fontId="52" fillId="24" borderId="107" applyNumberFormat="0" applyProtection="0">
      <alignment horizontal="right" vertical="center"/>
    </xf>
    <xf numFmtId="4" fontId="52" fillId="29" borderId="113" applyNumberFormat="0" applyProtection="0">
      <alignment horizontal="left" vertical="center" indent="1"/>
    </xf>
    <xf numFmtId="349" fontId="8" fillId="31" borderId="112" applyNumberFormat="0" applyProtection="0">
      <alignment horizontal="left" vertical="center" indent="1"/>
    </xf>
    <xf numFmtId="349" fontId="52" fillId="31" borderId="112" applyNumberFormat="0" applyProtection="0">
      <alignment horizontal="left" vertical="top" indent="1"/>
    </xf>
    <xf numFmtId="349" fontId="8" fillId="19"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0" borderId="107" applyNumberFormat="0" applyProtection="0">
      <alignment horizontal="left" vertical="center"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7" fontId="63" fillId="0" borderId="115" applyNumberFormat="0"/>
    <xf numFmtId="4" fontId="259" fillId="33" borderId="107" applyNumberFormat="0" applyProtection="0">
      <alignment horizontal="right" vertical="center"/>
    </xf>
    <xf numFmtId="349" fontId="52" fillId="19" borderId="112" applyNumberFormat="0" applyProtection="0">
      <alignment horizontal="left" vertical="top" indent="1"/>
    </xf>
    <xf numFmtId="349" fontId="257" fillId="19" borderId="112" applyNumberFormat="0" applyProtection="0">
      <alignment horizontal="left" vertical="top" indent="1"/>
    </xf>
    <xf numFmtId="349" fontId="52" fillId="30" borderId="112" applyNumberFormat="0" applyProtection="0">
      <alignment horizontal="left" vertical="top" indent="1"/>
    </xf>
    <xf numFmtId="349" fontId="8" fillId="32" borderId="112" applyNumberFormat="0" applyProtection="0">
      <alignment horizontal="left" vertical="center" indent="1"/>
    </xf>
    <xf numFmtId="349" fontId="8" fillId="19" borderId="112" applyNumberFormat="0" applyProtection="0">
      <alignment horizontal="left" vertical="center" indent="1"/>
    </xf>
    <xf numFmtId="349" fontId="52" fillId="31" borderId="112" applyNumberFormat="0" applyProtection="0">
      <alignment horizontal="left" vertical="top" indent="1"/>
    </xf>
    <xf numFmtId="4" fontId="8" fillId="31" borderId="113" applyNumberFormat="0" applyProtection="0">
      <alignment horizontal="left" vertical="center" indent="1"/>
    </xf>
    <xf numFmtId="4" fontId="52" fillId="64" borderId="107" applyNumberFormat="0" applyProtection="0">
      <alignment horizontal="left" vertical="center" indent="1"/>
    </xf>
    <xf numFmtId="349" fontId="52" fillId="31" borderId="112" applyNumberFormat="0" applyProtection="0">
      <alignment horizontal="left" vertical="top" indent="1"/>
    </xf>
    <xf numFmtId="349" fontId="52" fillId="13" borderId="107" applyNumberFormat="0" applyFont="0" applyAlignment="0" applyProtection="0"/>
    <xf numFmtId="4" fontId="255" fillId="50" borderId="107" applyNumberFormat="0" applyProtection="0">
      <alignment horizontal="right" vertical="center"/>
    </xf>
    <xf numFmtId="349" fontId="8" fillId="30" borderId="112" applyNumberFormat="0" applyProtection="0">
      <alignment horizontal="left" vertical="top" indent="1"/>
    </xf>
    <xf numFmtId="349" fontId="52" fillId="19" borderId="112" applyNumberFormat="0" applyProtection="0">
      <alignment horizontal="left" vertical="top" indent="1"/>
    </xf>
    <xf numFmtId="4" fontId="52" fillId="29" borderId="113" applyNumberFormat="0" applyProtection="0">
      <alignment horizontal="left" vertical="center" indent="1"/>
    </xf>
    <xf numFmtId="4" fontId="52" fillId="22" borderId="113" applyNumberFormat="0" applyProtection="0">
      <alignment horizontal="right" vertical="center"/>
    </xf>
    <xf numFmtId="4" fontId="257" fillId="61" borderId="112" applyNumberFormat="0" applyProtection="0">
      <alignment horizontal="left" vertical="center" indent="1"/>
    </xf>
    <xf numFmtId="349" fontId="14" fillId="0" borderId="116" applyNumberFormat="0" applyFill="0" applyAlignment="0" applyProtection="0"/>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0" borderId="112" applyNumberFormat="0" applyProtection="0">
      <alignment horizontal="left" vertical="top" indent="1"/>
    </xf>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253" fillId="127" borderId="107" applyNumberFormat="0" applyAlignment="0" applyProtection="0"/>
    <xf numFmtId="349" fontId="52" fillId="13" borderId="107" applyNumberFormat="0" applyFont="0" applyAlignment="0" applyProtection="0"/>
    <xf numFmtId="4" fontId="255" fillId="45" borderId="107" applyNumberFormat="0" applyProtection="0">
      <alignment vertical="center"/>
    </xf>
    <xf numFmtId="4" fontId="52" fillId="27" borderId="107" applyNumberFormat="0" applyProtection="0">
      <alignment horizontal="right" vertical="center"/>
    </xf>
    <xf numFmtId="349" fontId="52" fillId="31" borderId="112" applyNumberFormat="0" applyProtection="0">
      <alignment horizontal="left" vertical="top" indent="1"/>
    </xf>
    <xf numFmtId="349" fontId="52" fillId="31" borderId="112" applyNumberFormat="0" applyProtection="0">
      <alignment horizontal="left" vertical="top"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257" fillId="34" borderId="112" applyNumberFormat="0" applyProtection="0">
      <alignment horizontal="left" vertical="top" indent="1"/>
    </xf>
    <xf numFmtId="349" fontId="14" fillId="0" borderId="116" applyNumberFormat="0" applyFill="0" applyAlignment="0" applyProtection="0"/>
    <xf numFmtId="349" fontId="52" fillId="30" borderId="112" applyNumberFormat="0" applyProtection="0">
      <alignment horizontal="left" vertical="top" indent="1"/>
    </xf>
    <xf numFmtId="349" fontId="52" fillId="32" borderId="107" applyNumberFormat="0" applyProtection="0">
      <alignment horizontal="left" vertical="center"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349" fontId="8" fillId="31" borderId="112" applyNumberFormat="0" applyProtection="0">
      <alignment horizontal="left" vertical="top" indent="1"/>
    </xf>
    <xf numFmtId="4" fontId="8" fillId="31" borderId="113" applyNumberFormat="0" applyProtection="0">
      <alignment horizontal="left" vertical="center" indent="1"/>
    </xf>
    <xf numFmtId="4" fontId="52" fillId="26" borderId="107" applyNumberFormat="0" applyProtection="0">
      <alignment horizontal="right" vertical="center"/>
    </xf>
    <xf numFmtId="349" fontId="52" fillId="13" borderId="107" applyNumberFormat="0" applyFont="0" applyAlignment="0" applyProtection="0"/>
    <xf numFmtId="4" fontId="52" fillId="18" borderId="107" applyNumberFormat="0" applyProtection="0">
      <alignment vertical="center"/>
    </xf>
    <xf numFmtId="4" fontId="52" fillId="29" borderId="113" applyNumberFormat="0" applyProtection="0">
      <alignment horizontal="left" vertical="center" indent="1"/>
    </xf>
    <xf numFmtId="349" fontId="8" fillId="31" borderId="112" applyNumberFormat="0" applyProtection="0">
      <alignment horizontal="left" vertical="center" indent="1"/>
    </xf>
    <xf numFmtId="349" fontId="8" fillId="19" borderId="112" applyNumberFormat="0" applyProtection="0">
      <alignment horizontal="left" vertical="top" indent="1"/>
    </xf>
    <xf numFmtId="349" fontId="52" fillId="13" borderId="107" applyNumberFormat="0" applyFont="0" applyAlignment="0" applyProtection="0"/>
    <xf numFmtId="210" fontId="63" fillId="0" borderId="28" applyFill="0"/>
    <xf numFmtId="349" fontId="52" fillId="30" borderId="112" applyNumberFormat="0" applyProtection="0">
      <alignment horizontal="left" vertical="top"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349" fontId="52" fillId="31" borderId="112" applyNumberFormat="0" applyProtection="0">
      <alignment horizontal="left" vertical="top" indent="1"/>
    </xf>
    <xf numFmtId="4" fontId="52" fillId="19" borderId="107" applyNumberFormat="0" applyProtection="0">
      <alignment horizontal="right" vertical="center"/>
    </xf>
    <xf numFmtId="4" fontId="52" fillId="45" borderId="107" applyNumberFormat="0" applyProtection="0">
      <alignment horizontal="left" vertical="center" indent="1"/>
    </xf>
    <xf numFmtId="4" fontId="255" fillId="50" borderId="107" applyNumberFormat="0" applyProtection="0">
      <alignment horizontal="right" vertical="center"/>
    </xf>
    <xf numFmtId="349" fontId="52" fillId="30" borderId="112" applyNumberFormat="0" applyProtection="0">
      <alignment horizontal="left" vertical="top" indent="1"/>
    </xf>
    <xf numFmtId="349" fontId="257" fillId="19" borderId="112" applyNumberFormat="0" applyProtection="0">
      <alignment horizontal="left" vertical="top" indent="1"/>
    </xf>
    <xf numFmtId="4" fontId="259" fillId="33" borderId="107" applyNumberFormat="0" applyProtection="0">
      <alignment horizontal="right" vertical="center"/>
    </xf>
    <xf numFmtId="4" fontId="257" fillId="61" borderId="112" applyNumberFormat="0" applyProtection="0">
      <alignment horizontal="left" vertical="center" indent="1"/>
    </xf>
    <xf numFmtId="349" fontId="8" fillId="30" borderId="112" applyNumberFormat="0" applyProtection="0">
      <alignment horizontal="left" vertical="center" indent="1"/>
    </xf>
    <xf numFmtId="349" fontId="52" fillId="32" borderId="112" applyNumberFormat="0" applyProtection="0">
      <alignment horizontal="left" vertical="top" indent="1"/>
    </xf>
    <xf numFmtId="349" fontId="52" fillId="19" borderId="112" applyNumberFormat="0" applyProtection="0">
      <alignment horizontal="left" vertical="top" indent="1"/>
    </xf>
    <xf numFmtId="349" fontId="52" fillId="19" borderId="112" applyNumberFormat="0" applyProtection="0">
      <alignment horizontal="left" vertical="top" indent="1"/>
    </xf>
    <xf numFmtId="349" fontId="52" fillId="31" borderId="112" applyNumberFormat="0" applyProtection="0">
      <alignment horizontal="left" vertical="top" indent="1"/>
    </xf>
    <xf numFmtId="349" fontId="8" fillId="30" borderId="112" applyNumberFormat="0" applyProtection="0">
      <alignment horizontal="left" vertical="top" indent="1"/>
    </xf>
    <xf numFmtId="4" fontId="8" fillId="31" borderId="113" applyNumberFormat="0" applyProtection="0">
      <alignment horizontal="left" vertical="center" indent="1"/>
    </xf>
    <xf numFmtId="349" fontId="8" fillId="31" borderId="112" applyNumberFormat="0" applyProtection="0">
      <alignment horizontal="left" vertical="top" indent="1"/>
    </xf>
    <xf numFmtId="4" fontId="52" fillId="22" borderId="113" applyNumberFormat="0" applyProtection="0">
      <alignment horizontal="right" vertical="center"/>
    </xf>
    <xf numFmtId="349" fontId="52" fillId="61" borderId="107" applyNumberFormat="0" applyProtection="0">
      <alignment horizontal="left" vertical="center" indent="1"/>
    </xf>
    <xf numFmtId="4" fontId="52" fillId="45" borderId="107" applyNumberFormat="0" applyProtection="0">
      <alignment horizontal="left" vertical="center" indent="1"/>
    </xf>
    <xf numFmtId="349" fontId="52" fillId="13" borderId="107" applyNumberFormat="0" applyFont="0" applyAlignment="0" applyProtection="0"/>
    <xf numFmtId="349" fontId="52" fillId="13" borderId="107" applyNumberFormat="0" applyFont="0" applyAlignment="0" applyProtection="0"/>
    <xf numFmtId="349" fontId="253" fillId="127" borderId="107" applyNumberFormat="0" applyAlignment="0" applyProtection="0"/>
    <xf numFmtId="349" fontId="52" fillId="13" borderId="107" applyNumberFormat="0" applyFont="0" applyAlignment="0" applyProtection="0"/>
    <xf numFmtId="4" fontId="52" fillId="20" borderId="107" applyNumberFormat="0" applyProtection="0">
      <alignment horizontal="right" vertical="center"/>
    </xf>
    <xf numFmtId="4" fontId="52" fillId="29" borderId="113" applyNumberFormat="0" applyProtection="0">
      <alignment horizontal="left" vertical="center" indent="1"/>
    </xf>
    <xf numFmtId="349" fontId="8" fillId="31" borderId="112" applyNumberFormat="0" applyProtection="0">
      <alignment horizontal="left" vertical="top" indent="1"/>
    </xf>
    <xf numFmtId="349" fontId="52" fillId="83" borderId="107" applyNumberFormat="0" applyProtection="0">
      <alignment horizontal="left" vertical="center" indent="1"/>
    </xf>
    <xf numFmtId="349" fontId="52" fillId="19" borderId="112" applyNumberFormat="0" applyProtection="0">
      <alignment horizontal="left" vertical="top" indent="1"/>
    </xf>
    <xf numFmtId="349" fontId="52" fillId="32" borderId="112" applyNumberFormat="0" applyProtection="0">
      <alignment horizontal="left" vertical="top" indent="1"/>
    </xf>
    <xf numFmtId="349" fontId="52" fillId="31" borderId="112" applyNumberFormat="0" applyProtection="0">
      <alignment horizontal="left" vertical="top" indent="1"/>
    </xf>
    <xf numFmtId="4" fontId="52" fillId="28" borderId="107" applyNumberFormat="0" applyProtection="0">
      <alignment horizontal="right" vertical="center"/>
    </xf>
    <xf numFmtId="4" fontId="52" fillId="27" borderId="107" applyNumberFormat="0" applyProtection="0">
      <alignment horizontal="right" vertical="center"/>
    </xf>
    <xf numFmtId="349" fontId="52" fillId="31" borderId="112" applyNumberFormat="0" applyProtection="0">
      <alignment horizontal="left" vertical="top" indent="1"/>
    </xf>
    <xf numFmtId="349" fontId="52" fillId="32" borderId="112" applyNumberFormat="0" applyProtection="0">
      <alignment horizontal="left" vertical="top" indent="1"/>
    </xf>
    <xf numFmtId="349" fontId="253" fillId="127" borderId="107" applyNumberFormat="0" applyAlignment="0" applyProtection="0"/>
    <xf numFmtId="349" fontId="52" fillId="19" borderId="112" applyNumberFormat="0" applyProtection="0">
      <alignment horizontal="left" vertical="top" indent="1"/>
    </xf>
    <xf numFmtId="349" fontId="52" fillId="30" borderId="112" applyNumberFormat="0" applyProtection="0">
      <alignment horizontal="left" vertical="top" indent="1"/>
    </xf>
    <xf numFmtId="4" fontId="52" fillId="64" borderId="107" applyNumberFormat="0" applyProtection="0">
      <alignment horizontal="left" vertical="center" indent="1"/>
    </xf>
    <xf numFmtId="4" fontId="52" fillId="0" borderId="107" applyNumberFormat="0" applyProtection="0">
      <alignment horizontal="right" vertical="center"/>
    </xf>
    <xf numFmtId="349" fontId="52" fillId="13" borderId="107" applyNumberFormat="0" applyFont="0" applyAlignment="0" applyProtection="0"/>
    <xf numFmtId="349" fontId="141" fillId="14" borderId="107" applyNumberFormat="0" applyAlignment="0" applyProtection="0"/>
    <xf numFmtId="349" fontId="256" fillId="18" borderId="112" applyNumberFormat="0" applyProtection="0">
      <alignment horizontal="left" vertical="top" indent="1"/>
    </xf>
    <xf numFmtId="349" fontId="52" fillId="13" borderId="107" applyNumberFormat="0" applyFont="0" applyAlignment="0" applyProtection="0"/>
    <xf numFmtId="349" fontId="52" fillId="30" borderId="107" applyNumberFormat="0" applyProtection="0">
      <alignment horizontal="left" vertical="center" indent="1"/>
    </xf>
    <xf numFmtId="164" fontId="11" fillId="0" borderId="0" applyFont="0" applyFill="0" applyBorder="0" applyAlignment="0" applyProtection="0"/>
    <xf numFmtId="164" fontId="11" fillId="0" borderId="0" applyFont="0" applyFill="0" applyBorder="0" applyAlignment="0" applyProtection="0"/>
    <xf numFmtId="349" fontId="253" fillId="127" borderId="107" applyNumberFormat="0" applyAlignment="0" applyProtection="0"/>
    <xf numFmtId="4" fontId="255" fillId="50" borderId="107" applyNumberFormat="0" applyProtection="0">
      <alignment horizontal="right" vertical="center"/>
    </xf>
    <xf numFmtId="349" fontId="141" fillId="14" borderId="107" applyNumberFormat="0" applyAlignment="0" applyProtection="0"/>
    <xf numFmtId="164" fontId="11" fillId="0" borderId="0" applyFont="0" applyFill="0" applyBorder="0" applyAlignment="0" applyProtection="0"/>
    <xf numFmtId="349" fontId="253" fillId="127" borderId="107" applyNumberFormat="0" applyAlignment="0" applyProtection="0"/>
    <xf numFmtId="4" fontId="52" fillId="45" borderId="107" applyNumberFormat="0" applyProtection="0">
      <alignment horizontal="left" vertical="center" indent="1"/>
    </xf>
    <xf numFmtId="349" fontId="141" fillId="14" borderId="107" applyNumberFormat="0" applyAlignment="0" applyProtection="0"/>
    <xf numFmtId="4" fontId="52" fillId="64" borderId="107" applyNumberFormat="0" applyProtection="0">
      <alignment horizontal="left" vertical="center" indent="1"/>
    </xf>
    <xf numFmtId="4" fontId="52" fillId="26" borderId="107" applyNumberFormat="0" applyProtection="0">
      <alignment horizontal="right" vertical="center"/>
    </xf>
    <xf numFmtId="164" fontId="11" fillId="0" borderId="0" applyFont="0" applyFill="0" applyBorder="0" applyAlignment="0" applyProtection="0"/>
    <xf numFmtId="4" fontId="259" fillId="33" borderId="107" applyNumberFormat="0" applyProtection="0">
      <alignment horizontal="right" vertical="center"/>
    </xf>
    <xf numFmtId="4" fontId="52" fillId="23" borderId="107" applyNumberFormat="0" applyProtection="0">
      <alignment horizontal="right" vertical="center"/>
    </xf>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755">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4" fillId="0" borderId="0" xfId="75" applyFont="1" applyProtection="1">
      <protection locked="0"/>
    </xf>
    <xf numFmtId="0" fontId="7" fillId="0" borderId="0" xfId="0" applyFont="1" applyAlignment="1">
      <alignment horizontal="left" vertical="top"/>
    </xf>
    <xf numFmtId="0" fontId="7" fillId="0" borderId="0" xfId="0" applyFont="1"/>
    <xf numFmtId="0" fontId="25" fillId="0" borderId="0" xfId="0" applyFont="1"/>
    <xf numFmtId="0" fontId="26" fillId="0" borderId="0" xfId="0" applyFont="1"/>
    <xf numFmtId="0" fontId="9" fillId="42" borderId="0" xfId="7" applyFont="1" applyFill="1"/>
    <xf numFmtId="0" fontId="8" fillId="42" borderId="0" xfId="88" applyFill="1"/>
    <xf numFmtId="0" fontId="0" fillId="0" borderId="0" xfId="0" applyAlignment="1">
      <alignment horizontal="center" vertical="top" wrapText="1"/>
    </xf>
    <xf numFmtId="0" fontId="9" fillId="42" borderId="0" xfId="75" applyFont="1" applyFill="1" applyAlignment="1">
      <alignment horizontal="center" vertical="top"/>
    </xf>
    <xf numFmtId="0" fontId="23" fillId="0" borderId="0" xfId="75" applyFont="1"/>
    <xf numFmtId="0" fontId="32" fillId="0" borderId="0" xfId="75" applyFont="1"/>
    <xf numFmtId="0" fontId="31" fillId="47" borderId="0" xfId="75" applyFont="1" applyFill="1"/>
    <xf numFmtId="0" fontId="29" fillId="47" borderId="0" xfId="90" applyFont="1" applyFill="1" applyAlignment="1">
      <alignment horizontal="left"/>
    </xf>
    <xf numFmtId="0" fontId="23" fillId="0" borderId="0" xfId="93" applyFont="1"/>
    <xf numFmtId="0" fontId="30" fillId="0" borderId="0" xfId="75" applyFont="1"/>
    <xf numFmtId="0" fontId="31" fillId="0" borderId="0" xfId="75" applyFont="1"/>
    <xf numFmtId="0" fontId="34" fillId="47" borderId="0" xfId="90" applyFont="1" applyFill="1" applyAlignment="1">
      <alignment horizontal="left"/>
    </xf>
    <xf numFmtId="0" fontId="0" fillId="42" borderId="0" xfId="0" applyFill="1" applyAlignment="1">
      <alignment horizontal="right" vertical="top"/>
    </xf>
    <xf numFmtId="0" fontId="29" fillId="0" borderId="0" xfId="90" applyFont="1" applyAlignment="1">
      <alignment horizontal="left"/>
    </xf>
    <xf numFmtId="14" fontId="9" fillId="42" borderId="0" xfId="2" applyNumberFormat="1" applyFont="1" applyFill="1" applyBorder="1"/>
    <xf numFmtId="0" fontId="7" fillId="42" borderId="0" xfId="0" applyFont="1" applyFill="1"/>
    <xf numFmtId="0" fontId="0" fillId="42" borderId="0" xfId="0" applyFill="1"/>
    <xf numFmtId="1" fontId="7" fillId="0" borderId="0" xfId="0" applyNumberFormat="1" applyFont="1" applyAlignment="1">
      <alignment horizontal="center"/>
    </xf>
    <xf numFmtId="0" fontId="0" fillId="0" borderId="0" xfId="0" applyAlignment="1">
      <alignment vertical="center"/>
    </xf>
    <xf numFmtId="173" fontId="7" fillId="0" borderId="0" xfId="0" applyNumberFormat="1" applyFont="1" applyAlignment="1">
      <alignment horizontal="center"/>
    </xf>
    <xf numFmtId="173" fontId="0" fillId="0" borderId="0" xfId="0" applyNumberFormat="1" applyAlignment="1">
      <alignment horizontal="right" vertical="top"/>
    </xf>
    <xf numFmtId="173" fontId="0" fillId="0" borderId="0" xfId="0" applyNumberFormat="1" applyAlignment="1">
      <alignment horizontal="right"/>
    </xf>
    <xf numFmtId="1" fontId="7" fillId="0" borderId="0" xfId="0" applyNumberFormat="1" applyFont="1" applyAlignment="1">
      <alignment horizontal="right"/>
    </xf>
    <xf numFmtId="0" fontId="0" fillId="0" borderId="0" xfId="0" applyAlignment="1">
      <alignment horizontal="center" wrapText="1"/>
    </xf>
    <xf numFmtId="0" fontId="25" fillId="0" borderId="0" xfId="0" applyFont="1" applyAlignment="1">
      <alignment horizontal="right" indent="1"/>
    </xf>
    <xf numFmtId="173" fontId="7" fillId="0" borderId="0" xfId="0" applyNumberFormat="1" applyFont="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41" fillId="0" borderId="0" xfId="0" applyFont="1" applyAlignment="1">
      <alignment horizontal="center"/>
    </xf>
    <xf numFmtId="0" fontId="0" fillId="0" borderId="0" xfId="0" applyAlignment="1">
      <alignment horizontal="center" vertical="center" wrapText="1"/>
    </xf>
    <xf numFmtId="0" fontId="9"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7" fillId="2" borderId="59" xfId="0" applyNumberFormat="1" applyFont="1" applyFill="1" applyBorder="1" applyAlignment="1">
      <alignment horizontal="center" vertical="center"/>
    </xf>
    <xf numFmtId="172" fontId="9" fillId="38" borderId="65" xfId="1" applyNumberFormat="1" applyFont="1" applyFill="1" applyBorder="1" applyProtection="1"/>
    <xf numFmtId="172" fontId="9" fillId="38" borderId="66" xfId="1" applyNumberFormat="1" applyFont="1" applyFill="1" applyBorder="1" applyProtection="1"/>
    <xf numFmtId="172" fontId="9" fillId="38" borderId="67" xfId="1" applyNumberFormat="1" applyFont="1" applyFill="1" applyBorder="1" applyProtection="1"/>
    <xf numFmtId="172" fontId="9" fillId="38" borderId="59" xfId="1" applyNumberFormat="1" applyFont="1" applyFill="1" applyBorder="1" applyProtection="1"/>
    <xf numFmtId="172" fontId="9" fillId="38" borderId="60" xfId="1" applyNumberFormat="1" applyFont="1" applyFill="1" applyBorder="1" applyProtection="1"/>
    <xf numFmtId="172" fontId="9" fillId="38" borderId="61" xfId="1" applyNumberFormat="1" applyFont="1" applyFill="1" applyBorder="1" applyProtection="1"/>
    <xf numFmtId="1" fontId="7" fillId="2" borderId="59" xfId="0" applyNumberFormat="1" applyFont="1" applyFill="1" applyBorder="1" applyAlignment="1">
      <alignment horizontal="center" vertical="center" wrapText="1"/>
    </xf>
    <xf numFmtId="172" fontId="9" fillId="38" borderId="71" xfId="1" applyNumberFormat="1" applyFont="1" applyFill="1" applyBorder="1" applyProtection="1"/>
    <xf numFmtId="172" fontId="9" fillId="38" borderId="72" xfId="1" applyNumberFormat="1" applyFont="1" applyFill="1" applyBorder="1" applyProtection="1"/>
    <xf numFmtId="172" fontId="9" fillId="38" borderId="73" xfId="1" applyNumberFormat="1" applyFont="1" applyFill="1" applyBorder="1" applyProtection="1"/>
    <xf numFmtId="165" fontId="9" fillId="52" borderId="68" xfId="2" applyNumberFormat="1" applyFont="1" applyFill="1" applyBorder="1" applyAlignment="1">
      <alignment vertical="center"/>
    </xf>
    <xf numFmtId="165" fontId="9" fillId="52" borderId="70" xfId="2" applyNumberFormat="1" applyFont="1" applyFill="1" applyBorder="1" applyAlignment="1">
      <alignment vertical="center"/>
    </xf>
    <xf numFmtId="165" fontId="9" fillId="52" borderId="59" xfId="2" applyNumberFormat="1" applyFont="1" applyFill="1" applyBorder="1" applyAlignment="1">
      <alignment vertical="center"/>
    </xf>
    <xf numFmtId="165" fontId="9"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78" fontId="0" fillId="51" borderId="71" xfId="0" applyNumberFormat="1" applyFill="1" applyBorder="1" applyAlignment="1">
      <alignment horizontal="right" vertical="top"/>
    </xf>
    <xf numFmtId="173" fontId="0" fillId="54" borderId="71" xfId="0" applyNumberFormat="1" applyFill="1" applyBorder="1" applyAlignment="1">
      <alignment horizontal="right"/>
    </xf>
    <xf numFmtId="0" fontId="7" fillId="53" borderId="0" xfId="0" applyFont="1" applyFill="1" applyAlignment="1">
      <alignment horizontal="left" vertical="top"/>
    </xf>
    <xf numFmtId="1" fontId="7" fillId="2" borderId="71" xfId="0" applyNumberFormat="1" applyFont="1" applyFill="1" applyBorder="1" applyAlignment="1">
      <alignment horizontal="center" vertical="center"/>
    </xf>
    <xf numFmtId="1" fontId="7" fillId="2" borderId="72" xfId="0" applyNumberFormat="1" applyFont="1" applyFill="1" applyBorder="1" applyAlignment="1">
      <alignment horizontal="center" vertical="center"/>
    </xf>
    <xf numFmtId="1" fontId="7" fillId="2" borderId="73" xfId="0" applyNumberFormat="1" applyFont="1" applyFill="1" applyBorder="1" applyAlignment="1">
      <alignment horizontal="center" wrapText="1"/>
    </xf>
    <xf numFmtId="0" fontId="31"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29" fillId="47" borderId="0" xfId="90" applyFont="1" applyFill="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172" fontId="10" fillId="38" borderId="71" xfId="1" applyNumberFormat="1" applyFont="1" applyFill="1" applyBorder="1" applyProtection="1"/>
    <xf numFmtId="172" fontId="10"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4" fillId="47" borderId="0" xfId="90" applyFont="1" applyFill="1" applyAlignment="1">
      <alignment horizontal="center" vertical="center"/>
    </xf>
    <xf numFmtId="0" fontId="7"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0" fontId="0" fillId="0" borderId="0" xfId="0" applyNumberFormat="1"/>
    <xf numFmtId="170" fontId="7" fillId="0" borderId="0" xfId="0" applyNumberFormat="1" applyFont="1"/>
    <xf numFmtId="170" fontId="9" fillId="38" borderId="64" xfId="77" applyNumberFormat="1" applyFont="1" applyFill="1" applyBorder="1" applyProtection="1"/>
    <xf numFmtId="172" fontId="9" fillId="39" borderId="59" xfId="1" applyNumberFormat="1" applyFont="1" applyFill="1" applyBorder="1" applyProtection="1"/>
    <xf numFmtId="172" fontId="9" fillId="39" borderId="60" xfId="1" applyNumberFormat="1" applyFont="1" applyFill="1" applyBorder="1" applyProtection="1"/>
    <xf numFmtId="170" fontId="9" fillId="38" borderId="70" xfId="77" applyNumberFormat="1" applyFont="1" applyFill="1" applyBorder="1" applyProtection="1"/>
    <xf numFmtId="1" fontId="7" fillId="2" borderId="61" xfId="0" applyNumberFormat="1" applyFont="1" applyFill="1" applyBorder="1" applyAlignment="1">
      <alignment horizontal="center" vertical="center" wrapText="1"/>
    </xf>
    <xf numFmtId="1" fontId="7" fillId="2" borderId="73" xfId="0" applyNumberFormat="1" applyFont="1" applyFill="1" applyBorder="1" applyAlignment="1">
      <alignment horizontal="center" vertical="center"/>
    </xf>
    <xf numFmtId="0" fontId="0" fillId="0" borderId="0" xfId="0" applyAlignment="1">
      <alignment horizontal="left" indent="1"/>
    </xf>
    <xf numFmtId="0" fontId="7"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7" fillId="0" borderId="0" xfId="0" applyNumberFormat="1" applyFont="1" applyAlignment="1">
      <alignment horizontal="center" vertical="top"/>
    </xf>
    <xf numFmtId="173" fontId="0" fillId="0" borderId="0" xfId="0" applyNumberFormat="1"/>
    <xf numFmtId="14" fontId="0" fillId="0" borderId="0" xfId="0" applyNumberFormat="1"/>
    <xf numFmtId="0" fontId="0" fillId="53" borderId="0" xfId="0" applyFill="1"/>
    <xf numFmtId="252" fontId="0" fillId="0" borderId="0" xfId="0" applyNumberFormat="1"/>
    <xf numFmtId="0" fontId="29" fillId="47" borderId="0" xfId="90" applyFont="1" applyFill="1" applyAlignment="1">
      <alignment horizontal="center"/>
    </xf>
    <xf numFmtId="0" fontId="0" fillId="42" borderId="0" xfId="0" applyFill="1" applyAlignment="1">
      <alignment horizontal="center" vertical="top"/>
    </xf>
    <xf numFmtId="0" fontId="26" fillId="0" borderId="0" xfId="0" applyFont="1" applyAlignment="1">
      <alignment horizontal="center"/>
    </xf>
    <xf numFmtId="0" fontId="9" fillId="37" borderId="71" xfId="75" applyFont="1" applyFill="1" applyBorder="1" applyAlignment="1">
      <alignment horizontal="center" vertical="top"/>
    </xf>
    <xf numFmtId="0" fontId="9" fillId="37" borderId="72" xfId="75" applyFont="1" applyFill="1" applyBorder="1" applyAlignment="1">
      <alignment horizontal="center" vertical="top"/>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0" fontId="0" fillId="52" borderId="71" xfId="0" applyNumberFormat="1" applyFill="1" applyBorder="1"/>
    <xf numFmtId="170" fontId="0" fillId="52" borderId="72" xfId="0" applyNumberFormat="1" applyFill="1" applyBorder="1"/>
    <xf numFmtId="0" fontId="7" fillId="0" borderId="0" xfId="0" applyFont="1" applyAlignment="1" applyProtection="1">
      <alignment horizontal="center" vertical="center"/>
      <protection locked="0"/>
    </xf>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72" fontId="9" fillId="39" borderId="85" xfId="1" applyNumberFormat="1" applyFont="1" applyFill="1" applyBorder="1" applyProtection="1"/>
    <xf numFmtId="172" fontId="9" fillId="39" borderId="81" xfId="1" applyNumberFormat="1" applyFont="1" applyFill="1" applyBorder="1" applyProtection="1"/>
    <xf numFmtId="172" fontId="9" fillId="39" borderId="82" xfId="1" applyNumberFormat="1" applyFont="1" applyFill="1" applyBorder="1" applyProtection="1"/>
    <xf numFmtId="172" fontId="9" fillId="39" borderId="86" xfId="1" applyNumberFormat="1" applyFont="1" applyFill="1" applyBorder="1" applyProtection="1"/>
    <xf numFmtId="172" fontId="9" fillId="39" borderId="87" xfId="1" applyNumberFormat="1" applyFont="1" applyFill="1" applyBorder="1" applyProtection="1"/>
    <xf numFmtId="0" fontId="31" fillId="47" borderId="90" xfId="75" applyFont="1" applyFill="1" applyBorder="1"/>
    <xf numFmtId="0" fontId="243" fillId="0" borderId="0" xfId="90" applyFont="1" applyAlignment="1">
      <alignment horizontal="left"/>
    </xf>
    <xf numFmtId="0" fontId="244" fillId="0" borderId="0" xfId="0" applyFont="1"/>
    <xf numFmtId="0" fontId="245" fillId="0" borderId="0" xfId="75" applyFont="1"/>
    <xf numFmtId="0" fontId="28" fillId="0" borderId="0" xfId="0" applyFont="1" applyAlignment="1">
      <alignment horizontal="left" vertical="top"/>
    </xf>
    <xf numFmtId="1" fontId="7" fillId="2" borderId="73" xfId="0" applyNumberFormat="1" applyFont="1" applyFill="1" applyBorder="1" applyAlignment="1">
      <alignment horizontal="center" vertical="center" wrapText="1"/>
    </xf>
    <xf numFmtId="0" fontId="33"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8" fillId="0" borderId="0" xfId="0" applyFont="1"/>
    <xf numFmtId="0" fontId="25"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3" fillId="42" borderId="62" xfId="92" applyFill="1" applyBorder="1" applyAlignment="1">
      <alignment horizontal="left" vertical="center" wrapText="1" indent="1"/>
    </xf>
    <xf numFmtId="0" fontId="33" fillId="42" borderId="65" xfId="92" applyFill="1" applyBorder="1" applyAlignment="1">
      <alignment horizontal="left" vertical="center" wrapText="1" indent="1"/>
    </xf>
    <xf numFmtId="0" fontId="248"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68" fontId="36" fillId="48" borderId="0" xfId="94">
      <alignment vertical="center"/>
    </xf>
    <xf numFmtId="172" fontId="0" fillId="51" borderId="62" xfId="1" applyNumberFormat="1" applyFont="1" applyFill="1" applyBorder="1" applyAlignment="1">
      <alignment horizontal="right"/>
    </xf>
    <xf numFmtId="172" fontId="0" fillId="51" borderId="71" xfId="1" applyNumberFormat="1" applyFont="1" applyFill="1" applyBorder="1" applyAlignment="1">
      <alignment horizontal="right" vertical="top"/>
    </xf>
    <xf numFmtId="172" fontId="9" fillId="38" borderId="100" xfId="1" applyNumberFormat="1" applyFont="1" applyFill="1" applyBorder="1" applyProtection="1"/>
    <xf numFmtId="14" fontId="9" fillId="42" borderId="0" xfId="2" applyNumberFormat="1" applyFont="1" applyFill="1" applyBorder="1" applyAlignment="1">
      <alignment horizontal="center" vertical="center"/>
    </xf>
    <xf numFmtId="0" fontId="247" fillId="116" borderId="0" xfId="0" applyFont="1" applyFill="1" applyAlignment="1">
      <alignment horizontal="left" vertical="top"/>
    </xf>
    <xf numFmtId="0" fontId="247" fillId="116" borderId="0" xfId="0" applyFont="1" applyFill="1" applyAlignment="1">
      <alignment horizontal="left" vertical="top" indent="1"/>
    </xf>
    <xf numFmtId="168" fontId="9" fillId="0" borderId="0" xfId="0" applyNumberFormat="1" applyFont="1" applyAlignment="1">
      <alignment horizontal="left" vertical="center" indent="1"/>
    </xf>
    <xf numFmtId="0" fontId="9" fillId="0" borderId="0" xfId="85" applyFont="1" applyAlignment="1">
      <alignment horizontal="left" vertical="center" wrapText="1" indent="1"/>
    </xf>
    <xf numFmtId="0" fontId="247" fillId="0" borderId="0" xfId="0" applyFont="1" applyAlignment="1">
      <alignment horizontal="left" vertical="top"/>
    </xf>
    <xf numFmtId="172" fontId="0" fillId="51" borderId="63"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2" xfId="1" applyNumberFormat="1" applyFont="1" applyFill="1" applyBorder="1" applyAlignment="1">
      <alignment horizontal="right" vertical="top"/>
    </xf>
    <xf numFmtId="0" fontId="0" fillId="0" borderId="71" xfId="0" applyBorder="1" applyAlignment="1">
      <alignment horizontal="center" vertical="top"/>
    </xf>
    <xf numFmtId="0" fontId="0" fillId="0" borderId="72" xfId="0" applyBorder="1" applyAlignment="1">
      <alignment horizontal="center" vertical="top"/>
    </xf>
    <xf numFmtId="0" fontId="7" fillId="0" borderId="0" xfId="0" applyFont="1" applyAlignment="1">
      <alignment horizontal="left" vertical="top" indent="1"/>
    </xf>
    <xf numFmtId="10" fontId="9" fillId="52" borderId="71" xfId="2" applyNumberFormat="1" applyFont="1" applyFill="1" applyBorder="1"/>
    <xf numFmtId="10" fontId="9" fillId="52" borderId="72" xfId="2" applyNumberFormat="1" applyFont="1" applyFill="1" applyBorder="1"/>
    <xf numFmtId="10" fontId="0" fillId="51" borderId="59" xfId="0" applyNumberFormat="1" applyFill="1" applyBorder="1" applyAlignment="1">
      <alignment horizontal="right" vertical="top"/>
    </xf>
    <xf numFmtId="170" fontId="0" fillId="51" borderId="65" xfId="0" applyNumberFormat="1" applyFill="1" applyBorder="1" applyAlignment="1">
      <alignment horizontal="right" vertical="top"/>
    </xf>
    <xf numFmtId="0" fontId="247" fillId="0" borderId="0" xfId="0" applyFont="1" applyAlignment="1">
      <alignment horizontal="left" vertical="top" indent="1"/>
    </xf>
    <xf numFmtId="10" fontId="0" fillId="0" borderId="64" xfId="0" applyNumberFormat="1" applyBorder="1"/>
    <xf numFmtId="3" fontId="10"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7" fillId="116" borderId="0" xfId="0" applyFont="1" applyFill="1"/>
    <xf numFmtId="0" fontId="247" fillId="116" borderId="0" xfId="0" applyFont="1" applyFill="1" applyAlignment="1">
      <alignment horizontal="left" indent="1"/>
    </xf>
    <xf numFmtId="0" fontId="247" fillId="116" borderId="0" xfId="0" applyFont="1" applyFill="1" applyAlignment="1">
      <alignment wrapText="1"/>
    </xf>
    <xf numFmtId="0" fontId="10" fillId="0" borderId="0" xfId="77" applyNumberFormat="1" applyFont="1" applyFill="1" applyBorder="1" applyAlignment="1" applyProtection="1">
      <alignment horizontal="left" indent="1"/>
    </xf>
    <xf numFmtId="0" fontId="9" fillId="0" borderId="0" xfId="77" applyNumberFormat="1" applyFont="1" applyFill="1" applyBorder="1" applyAlignment="1" applyProtection="1">
      <alignment horizontal="center"/>
    </xf>
    <xf numFmtId="170" fontId="10" fillId="0" borderId="0" xfId="77" applyNumberFormat="1" applyFont="1" applyFill="1" applyBorder="1" applyProtection="1"/>
    <xf numFmtId="252" fontId="10" fillId="0" borderId="0" xfId="2" applyNumberFormat="1" applyFont="1" applyFill="1" applyBorder="1"/>
    <xf numFmtId="168" fontId="10" fillId="0" borderId="0" xfId="0" applyNumberFormat="1" applyFont="1" applyAlignment="1">
      <alignment horizontal="left" vertical="center"/>
    </xf>
    <xf numFmtId="9" fontId="9" fillId="52" borderId="65" xfId="75" applyNumberFormat="1" applyFont="1" applyFill="1" applyBorder="1" applyAlignment="1">
      <alignment vertical="top"/>
    </xf>
    <xf numFmtId="9" fontId="9" fillId="52" borderId="66" xfId="75" applyNumberFormat="1" applyFont="1" applyFill="1" applyBorder="1" applyAlignment="1">
      <alignment vertical="top"/>
    </xf>
    <xf numFmtId="178" fontId="0" fillId="51" borderId="71" xfId="1" applyNumberFormat="1" applyFont="1" applyFill="1" applyBorder="1" applyAlignment="1">
      <alignment horizontal="right"/>
    </xf>
    <xf numFmtId="170" fontId="9" fillId="38" borderId="59" xfId="77" applyNumberFormat="1" applyFont="1" applyFill="1" applyBorder="1" applyProtection="1"/>
    <xf numFmtId="170" fontId="9" fillId="38" borderId="61" xfId="77" applyNumberFormat="1" applyFont="1" applyFill="1" applyBorder="1" applyProtection="1"/>
    <xf numFmtId="172" fontId="9" fillId="38" borderId="68" xfId="1" applyNumberFormat="1" applyFont="1" applyFill="1" applyBorder="1" applyProtection="1"/>
    <xf numFmtId="172" fontId="9" fillId="38" borderId="69" xfId="1" applyNumberFormat="1" applyFont="1" applyFill="1" applyBorder="1" applyProtection="1"/>
    <xf numFmtId="0" fontId="10" fillId="53" borderId="0" xfId="77" applyNumberFormat="1" applyFont="1" applyFill="1" applyBorder="1" applyAlignment="1" applyProtection="1">
      <alignment horizontal="left" indent="1"/>
    </xf>
    <xf numFmtId="0" fontId="9" fillId="53" borderId="0" xfId="77" applyNumberFormat="1" applyFont="1" applyFill="1" applyBorder="1" applyAlignment="1" applyProtection="1">
      <alignment horizontal="center"/>
    </xf>
    <xf numFmtId="170" fontId="10" fillId="53" borderId="0" xfId="77" applyNumberFormat="1" applyFont="1" applyFill="1" applyBorder="1" applyProtection="1"/>
    <xf numFmtId="170" fontId="7" fillId="53" borderId="0" xfId="0" applyNumberFormat="1" applyFont="1" applyFill="1"/>
    <xf numFmtId="0" fontId="10" fillId="116" borderId="0" xfId="77" applyNumberFormat="1" applyFont="1" applyFill="1" applyBorder="1" applyAlignment="1" applyProtection="1">
      <alignment horizontal="left" indent="1"/>
    </xf>
    <xf numFmtId="0" fontId="9" fillId="116" borderId="0" xfId="77" applyNumberFormat="1" applyFont="1" applyFill="1" applyBorder="1" applyAlignment="1" applyProtection="1">
      <alignment horizontal="left" indent="1"/>
    </xf>
    <xf numFmtId="0" fontId="7"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4" fillId="0" borderId="0" xfId="75" applyFont="1" applyAlignment="1">
      <alignment horizontal="left" indent="1"/>
    </xf>
    <xf numFmtId="0" fontId="24" fillId="0" borderId="0" xfId="75" applyFont="1" applyAlignment="1">
      <alignment horizontal="left" vertical="center" indent="1"/>
    </xf>
    <xf numFmtId="0" fontId="9" fillId="42" borderId="0" xfId="7" applyFont="1" applyFill="1" applyAlignment="1">
      <alignment horizontal="left" indent="1"/>
    </xf>
    <xf numFmtId="173" fontId="0" fillId="117" borderId="63" xfId="0" applyNumberFormat="1" applyFill="1" applyBorder="1" applyAlignment="1">
      <alignment horizontal="right" indent="1"/>
    </xf>
    <xf numFmtId="0" fontId="0" fillId="54" borderId="102" xfId="0" applyFill="1" applyBorder="1" applyAlignment="1">
      <alignment horizontal="right" vertical="top"/>
    </xf>
    <xf numFmtId="172" fontId="9" fillId="38" borderId="78" xfId="1" applyNumberFormat="1" applyFont="1" applyFill="1" applyBorder="1" applyProtection="1"/>
    <xf numFmtId="172" fontId="9" fillId="38" borderId="102" xfId="1" applyNumberFormat="1" applyFont="1" applyFill="1" applyBorder="1" applyProtection="1"/>
    <xf numFmtId="172" fontId="9" fillId="38" borderId="103" xfId="1" applyNumberFormat="1" applyFont="1" applyFill="1" applyBorder="1" applyProtection="1"/>
    <xf numFmtId="172" fontId="9" fillId="38" borderId="89" xfId="1" applyNumberFormat="1" applyFont="1" applyFill="1" applyBorder="1" applyProtection="1"/>
    <xf numFmtId="172" fontId="9" fillId="38" borderId="105" xfId="1" applyNumberFormat="1" applyFont="1" applyFill="1" applyBorder="1" applyProtection="1"/>
    <xf numFmtId="172" fontId="9" fillId="3" borderId="62" xfId="2" applyNumberFormat="1" applyFont="1" applyFill="1" applyBorder="1"/>
    <xf numFmtId="172" fontId="0" fillId="3" borderId="59" xfId="0" applyNumberFormat="1" applyFill="1" applyBorder="1" applyAlignment="1">
      <alignment horizontal="right" vertical="top"/>
    </xf>
    <xf numFmtId="172" fontId="0" fillId="3" borderId="60" xfId="0" applyNumberFormat="1" applyFill="1" applyBorder="1" applyAlignment="1">
      <alignment horizontal="right" vertical="top"/>
    </xf>
    <xf numFmtId="172" fontId="0" fillId="3" borderId="62" xfId="0" applyNumberFormat="1" applyFill="1" applyBorder="1" applyAlignment="1">
      <alignment horizontal="right" vertical="top"/>
    </xf>
    <xf numFmtId="172" fontId="0" fillId="3" borderId="63" xfId="0" applyNumberFormat="1" applyFill="1" applyBorder="1" applyAlignment="1">
      <alignment horizontal="right" vertical="top"/>
    </xf>
    <xf numFmtId="172" fontId="7" fillId="52" borderId="71" xfId="0" applyNumberFormat="1" applyFont="1" applyFill="1" applyBorder="1" applyAlignment="1">
      <alignment horizontal="right"/>
    </xf>
    <xf numFmtId="172" fontId="0" fillId="3" borderId="68" xfId="0" applyNumberFormat="1" applyFill="1" applyBorder="1" applyAlignment="1">
      <alignment horizontal="right" vertical="top"/>
    </xf>
    <xf numFmtId="172" fontId="0" fillId="3" borderId="69" xfId="0" applyNumberFormat="1" applyFill="1" applyBorder="1" applyAlignment="1">
      <alignment horizontal="right" vertical="top"/>
    </xf>
    <xf numFmtId="172" fontId="7" fillId="52" borderId="71" xfId="0" applyNumberFormat="1" applyFont="1" applyFill="1" applyBorder="1" applyAlignment="1">
      <alignment horizontal="right" vertical="top"/>
    </xf>
    <xf numFmtId="172" fontId="7" fillId="52" borderId="72" xfId="0" applyNumberFormat="1" applyFont="1" applyFill="1" applyBorder="1" applyAlignment="1">
      <alignment horizontal="right" vertical="top"/>
    </xf>
    <xf numFmtId="172" fontId="0" fillId="3" borderId="65" xfId="0" applyNumberFormat="1" applyFill="1" applyBorder="1" applyAlignment="1">
      <alignment horizontal="right" vertical="top"/>
    </xf>
    <xf numFmtId="172" fontId="0" fillId="3" borderId="66" xfId="0" applyNumberFormat="1" applyFill="1" applyBorder="1" applyAlignment="1">
      <alignment horizontal="right" vertical="top"/>
    </xf>
    <xf numFmtId="172" fontId="7" fillId="52" borderId="59" xfId="0" applyNumberFormat="1" applyFont="1" applyFill="1" applyBorder="1" applyAlignment="1">
      <alignment horizontal="right" vertical="top"/>
    </xf>
    <xf numFmtId="172" fontId="0" fillId="54" borderId="71" xfId="0" applyNumberFormat="1" applyFill="1" applyBorder="1" applyAlignment="1">
      <alignment horizontal="right" vertical="top"/>
    </xf>
    <xf numFmtId="172" fontId="0" fillId="52" borderId="71" xfId="0" applyNumberFormat="1" applyFill="1" applyBorder="1" applyAlignment="1">
      <alignment horizontal="right" vertical="top"/>
    </xf>
    <xf numFmtId="172" fontId="0" fillId="52" borderId="72" xfId="0" applyNumberFormat="1" applyFill="1" applyBorder="1" applyAlignment="1">
      <alignment horizontal="right" vertical="top"/>
    </xf>
    <xf numFmtId="172" fontId="9" fillId="52" borderId="100" xfId="2" applyNumberFormat="1" applyFont="1" applyFill="1" applyBorder="1" applyAlignment="1">
      <alignment vertical="center"/>
    </xf>
    <xf numFmtId="172" fontId="9" fillId="52" borderId="78" xfId="2" applyNumberFormat="1" applyFont="1" applyFill="1" applyBorder="1" applyAlignment="1">
      <alignment vertical="center"/>
    </xf>
    <xf numFmtId="172" fontId="9" fillId="52" borderId="101" xfId="2" applyNumberFormat="1" applyFont="1" applyFill="1" applyBorder="1" applyAlignment="1">
      <alignment vertical="center"/>
    </xf>
    <xf numFmtId="172" fontId="9" fillId="52" borderId="106" xfId="2" applyNumberFormat="1" applyFont="1" applyFill="1" applyBorder="1" applyAlignment="1">
      <alignment vertical="center"/>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0" fillId="52" borderId="59" xfId="0" applyNumberFormat="1" applyFill="1" applyBorder="1" applyAlignment="1">
      <alignment horizontal="right" vertical="top"/>
    </xf>
    <xf numFmtId="172" fontId="9" fillId="52" borderId="71" xfId="2" applyNumberFormat="1" applyFont="1" applyFill="1" applyBorder="1" applyAlignment="1">
      <alignment horizontal="right" vertical="center"/>
    </xf>
    <xf numFmtId="172" fontId="9" fillId="52" borderId="73" xfId="2" applyNumberFormat="1" applyFont="1" applyFill="1" applyBorder="1" applyAlignment="1">
      <alignment horizontal="right" vertical="center"/>
    </xf>
    <xf numFmtId="172" fontId="10" fillId="52" borderId="71" xfId="2" applyNumberFormat="1" applyFont="1" applyFill="1" applyBorder="1" applyAlignment="1">
      <alignment horizontal="right" vertical="center"/>
    </xf>
    <xf numFmtId="172" fontId="10" fillId="52" borderId="73" xfId="2" applyNumberFormat="1" applyFont="1" applyFill="1" applyBorder="1" applyAlignment="1">
      <alignment horizontal="right" vertical="center"/>
    </xf>
    <xf numFmtId="172" fontId="9" fillId="51" borderId="59" xfId="1" applyNumberFormat="1" applyFont="1" applyFill="1" applyBorder="1"/>
    <xf numFmtId="172" fontId="9" fillId="51" borderId="60" xfId="1" applyNumberFormat="1" applyFont="1" applyFill="1" applyBorder="1"/>
    <xf numFmtId="172" fontId="9" fillId="51" borderId="62" xfId="1" applyNumberFormat="1" applyFont="1" applyFill="1" applyBorder="1"/>
    <xf numFmtId="172" fontId="9" fillId="51" borderId="63" xfId="1" applyNumberFormat="1" applyFont="1" applyFill="1" applyBorder="1"/>
    <xf numFmtId="172" fontId="7" fillId="52" borderId="71" xfId="1" applyNumberFormat="1" applyFont="1" applyFill="1" applyBorder="1" applyAlignment="1">
      <alignment horizontal="right"/>
    </xf>
    <xf numFmtId="172" fontId="0" fillId="52" borderId="74" xfId="0" applyNumberFormat="1" applyFill="1" applyBorder="1"/>
    <xf numFmtId="172" fontId="0" fillId="52" borderId="75" xfId="0" applyNumberFormat="1" applyFill="1" applyBorder="1"/>
    <xf numFmtId="172" fontId="9" fillId="52" borderId="59" xfId="1" applyNumberFormat="1" applyFont="1" applyFill="1" applyBorder="1" applyProtection="1"/>
    <xf numFmtId="172" fontId="0" fillId="52" borderId="59" xfId="0" applyNumberFormat="1" applyFill="1" applyBorder="1"/>
    <xf numFmtId="172" fontId="0" fillId="52" borderId="60" xfId="0" applyNumberFormat="1" applyFill="1" applyBorder="1"/>
    <xf numFmtId="172" fontId="10" fillId="52" borderId="71" xfId="2" applyNumberFormat="1" applyFont="1" applyFill="1" applyBorder="1"/>
    <xf numFmtId="172" fontId="0" fillId="52" borderId="71" xfId="0" applyNumberFormat="1" applyFill="1" applyBorder="1" applyAlignment="1">
      <alignment horizontal="right" vertical="center"/>
    </xf>
    <xf numFmtId="172" fontId="0" fillId="0" borderId="0" xfId="0" applyNumberFormat="1"/>
    <xf numFmtId="172" fontId="0" fillId="0" borderId="0" xfId="0" applyNumberFormat="1" applyAlignment="1">
      <alignment horizontal="right"/>
    </xf>
    <xf numFmtId="0" fontId="7" fillId="0" borderId="0" xfId="0" applyFont="1" applyAlignment="1" applyProtection="1">
      <alignment horizontal="left" indent="1"/>
      <protection locked="0"/>
    </xf>
    <xf numFmtId="0" fontId="7" fillId="53" borderId="0" xfId="0" applyFont="1" applyFill="1" applyAlignment="1">
      <alignment horizontal="left" vertical="top" indent="1"/>
    </xf>
    <xf numFmtId="0" fontId="0" fillId="0" borderId="0" xfId="0" applyAlignment="1" applyProtection="1">
      <alignment horizontal="left" indent="1"/>
      <protection locked="0"/>
    </xf>
    <xf numFmtId="0" fontId="7" fillId="0" borderId="0" xfId="0" applyFont="1" applyAlignment="1">
      <alignment horizontal="left" indent="1"/>
    </xf>
    <xf numFmtId="0" fontId="10" fillId="53" borderId="0" xfId="85" applyFont="1" applyFill="1" applyAlignment="1">
      <alignment horizontal="left" vertical="center" wrapText="1"/>
    </xf>
    <xf numFmtId="0" fontId="9" fillId="53" borderId="0" xfId="85" applyFont="1" applyFill="1" applyAlignment="1">
      <alignment horizontal="left" vertical="center" wrapText="1"/>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172" fontId="9" fillId="0" borderId="0" xfId="1" applyNumberFormat="1" applyFont="1" applyFill="1" applyBorder="1" applyProtection="1"/>
    <xf numFmtId="0" fontId="0" fillId="52" borderId="78" xfId="0" applyFill="1" applyBorder="1" applyAlignment="1">
      <alignment horizontal="left" vertical="center" wrapText="1" indent="1"/>
    </xf>
    <xf numFmtId="172" fontId="9" fillId="0" borderId="0" xfId="2" applyNumberFormat="1" applyFont="1" applyFill="1" applyBorder="1"/>
    <xf numFmtId="0" fontId="7" fillId="53" borderId="0" xfId="0" applyFont="1" applyFill="1" applyAlignment="1">
      <alignment horizontal="left"/>
    </xf>
    <xf numFmtId="0" fontId="0" fillId="53" borderId="0" xfId="0" applyFill="1" applyAlignment="1">
      <alignment horizontal="center" vertical="center" wrapText="1"/>
    </xf>
    <xf numFmtId="0" fontId="7" fillId="0" borderId="0" xfId="0" applyFont="1" applyAlignment="1">
      <alignment horizontal="left"/>
    </xf>
    <xf numFmtId="172" fontId="9" fillId="0" borderId="0" xfId="2" applyNumberFormat="1" applyFont="1" applyFill="1" applyBorder="1" applyAlignment="1">
      <alignment horizontal="right" vertical="center"/>
    </xf>
    <xf numFmtId="0" fontId="7"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7" fillId="53" borderId="0" xfId="0" applyFont="1" applyFill="1" applyAlignment="1">
      <alignment horizontal="left" indent="1"/>
    </xf>
    <xf numFmtId="172" fontId="9" fillId="3" borderId="59" xfId="1" applyNumberFormat="1" applyFont="1" applyFill="1" applyBorder="1" applyProtection="1"/>
    <xf numFmtId="15" fontId="243" fillId="46" borderId="105" xfId="48236" applyNumberFormat="1" applyFont="1" applyFill="1" applyBorder="1" applyAlignment="1">
      <alignment horizontal="center" vertical="top" wrapText="1"/>
    </xf>
    <xf numFmtId="0" fontId="243" fillId="46" borderId="105" xfId="48236" applyFont="1" applyFill="1" applyBorder="1" applyAlignment="1">
      <alignment vertical="top" wrapText="1"/>
    </xf>
    <xf numFmtId="0" fontId="243" fillId="46" borderId="105" xfId="48236" applyFont="1" applyFill="1" applyBorder="1" applyAlignment="1">
      <alignment horizontal="center" vertical="top" wrapText="1"/>
    </xf>
    <xf numFmtId="0" fontId="29"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9" fillId="0" borderId="0" xfId="7" applyFont="1" applyAlignment="1">
      <alignment horizontal="left" vertical="center" wrapText="1" indent="1"/>
    </xf>
    <xf numFmtId="0" fontId="0" fillId="0" borderId="84" xfId="0" applyBorder="1" applyAlignment="1">
      <alignment vertical="center" wrapText="1"/>
    </xf>
    <xf numFmtId="168" fontId="10" fillId="0" borderId="0" xfId="0" applyNumberFormat="1" applyFont="1" applyAlignment="1">
      <alignment horizontal="left" vertical="center" indent="1"/>
    </xf>
    <xf numFmtId="168" fontId="9"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2" fontId="0" fillId="51" borderId="71" xfId="0" applyNumberFormat="1" applyFill="1" applyBorder="1"/>
    <xf numFmtId="170" fontId="0" fillId="51" borderId="68" xfId="0" applyNumberFormat="1" applyFill="1" applyBorder="1"/>
    <xf numFmtId="170"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2" fontId="10" fillId="51" borderId="71" xfId="1" applyNumberFormat="1" applyFont="1" applyFill="1" applyBorder="1" applyProtection="1"/>
    <xf numFmtId="172" fontId="9" fillId="51" borderId="71" xfId="1" applyNumberFormat="1" applyFont="1" applyFill="1" applyBorder="1" applyProtection="1"/>
    <xf numFmtId="170" fontId="9" fillId="116" borderId="71" xfId="1" applyNumberFormat="1" applyFont="1" applyFill="1" applyBorder="1" applyProtection="1"/>
    <xf numFmtId="170" fontId="9" fillId="116" borderId="72" xfId="1" applyNumberFormat="1" applyFont="1" applyFill="1" applyBorder="1" applyProtection="1"/>
    <xf numFmtId="170" fontId="9" fillId="51" borderId="71" xfId="1" applyNumberFormat="1" applyFont="1" applyFill="1" applyBorder="1" applyProtection="1"/>
    <xf numFmtId="170" fontId="9" fillId="51" borderId="72" xfId="1" applyNumberFormat="1" applyFont="1" applyFill="1" applyBorder="1" applyProtection="1"/>
    <xf numFmtId="0" fontId="9" fillId="42" borderId="0" xfId="0" applyFont="1" applyFill="1" applyAlignment="1">
      <alignment horizontal="left" vertical="center" indent="1"/>
    </xf>
    <xf numFmtId="172" fontId="9" fillId="42" borderId="0" xfId="2" applyNumberFormat="1" applyFont="1" applyFill="1" applyBorder="1" applyAlignment="1">
      <alignment horizontal="right" vertical="center"/>
    </xf>
    <xf numFmtId="0" fontId="262" fillId="47" borderId="0" xfId="90" applyFont="1" applyFill="1" applyAlignment="1">
      <alignment horizontal="left"/>
    </xf>
    <xf numFmtId="0" fontId="261" fillId="47" borderId="0" xfId="0" applyFont="1" applyFill="1"/>
    <xf numFmtId="0" fontId="263" fillId="47" borderId="0" xfId="92" applyFont="1" applyFill="1" applyAlignment="1">
      <alignment wrapText="1"/>
    </xf>
    <xf numFmtId="0" fontId="261" fillId="47" borderId="0" xfId="0" applyFont="1" applyFill="1" applyAlignment="1">
      <alignment wrapText="1"/>
    </xf>
    <xf numFmtId="0" fontId="261" fillId="47" borderId="0" xfId="0" applyFont="1" applyFill="1" applyAlignment="1">
      <alignment horizontal="left" indent="1"/>
    </xf>
    <xf numFmtId="0" fontId="262" fillId="47" borderId="10" xfId="90" applyFont="1" applyFill="1" applyBorder="1" applyAlignment="1">
      <alignment horizontal="left"/>
    </xf>
    <xf numFmtId="0" fontId="261" fillId="47" borderId="11" xfId="0" applyFont="1" applyFill="1" applyBorder="1" applyAlignment="1">
      <alignment wrapText="1"/>
    </xf>
    <xf numFmtId="0" fontId="261" fillId="47" borderId="90" xfId="0" applyFont="1" applyFill="1" applyBorder="1" applyAlignment="1">
      <alignment wrapText="1"/>
    </xf>
    <xf numFmtId="0" fontId="262" fillId="47" borderId="0" xfId="90" applyFont="1" applyFill="1" applyAlignment="1">
      <alignment horizontal="left" indent="1"/>
    </xf>
    <xf numFmtId="0" fontId="265"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2" fontId="0" fillId="131" borderId="59" xfId="0" applyNumberFormat="1" applyFill="1" applyBorder="1" applyAlignment="1">
      <alignment horizontal="right" vertical="top"/>
    </xf>
    <xf numFmtId="172" fontId="0" fillId="3" borderId="0" xfId="0" applyNumberFormat="1" applyFill="1" applyAlignment="1">
      <alignment horizontal="left" vertical="top"/>
    </xf>
    <xf numFmtId="0" fontId="0" fillId="0" borderId="0" xfId="0" applyProtection="1">
      <protection locked="0"/>
    </xf>
    <xf numFmtId="0" fontId="9" fillId="3" borderId="0" xfId="0" applyFont="1" applyFill="1" applyAlignment="1">
      <alignment horizontal="left" vertical="center" indent="1"/>
    </xf>
    <xf numFmtId="0" fontId="0" fillId="0" borderId="0" xfId="0" applyAlignment="1">
      <alignment horizontal="left" wrapText="1" indent="1"/>
    </xf>
    <xf numFmtId="3" fontId="9" fillId="0" borderId="99"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9" fillId="0" borderId="97"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0" fontId="7" fillId="2" borderId="71" xfId="0" applyFont="1" applyFill="1" applyBorder="1" applyAlignment="1">
      <alignment horizontal="center" vertical="center"/>
    </xf>
    <xf numFmtId="2" fontId="9" fillId="132" borderId="0" xfId="7" applyNumberFormat="1" applyFont="1" applyFill="1" applyAlignment="1">
      <alignment horizontal="center"/>
    </xf>
    <xf numFmtId="0" fontId="9" fillId="132" borderId="0" xfId="7" applyFont="1" applyFill="1" applyAlignment="1">
      <alignment horizontal="center"/>
    </xf>
    <xf numFmtId="173" fontId="9" fillId="132" borderId="0" xfId="7" applyNumberFormat="1" applyFont="1" applyFill="1" applyAlignment="1">
      <alignment horizontal="center"/>
    </xf>
    <xf numFmtId="9" fontId="0" fillId="132" borderId="0" xfId="0" applyNumberFormat="1" applyFill="1" applyAlignment="1">
      <alignment horizontal="center"/>
    </xf>
    <xf numFmtId="178" fontId="9" fillId="0" borderId="0" xfId="7" applyNumberFormat="1" applyFont="1" applyAlignment="1">
      <alignment horizontal="center" vertical="center"/>
    </xf>
    <xf numFmtId="0" fontId="9" fillId="42" borderId="0" xfId="7" applyFont="1" applyFill="1" applyAlignment="1">
      <alignment horizontal="center"/>
    </xf>
    <xf numFmtId="10" fontId="9" fillId="0" borderId="0" xfId="7" applyNumberFormat="1" applyFont="1" applyAlignment="1">
      <alignment horizontal="center" vertical="center"/>
    </xf>
    <xf numFmtId="0" fontId="0" fillId="0" borderId="0" xfId="0" applyAlignment="1">
      <alignment horizontal="left" vertical="top" indent="2"/>
    </xf>
    <xf numFmtId="0" fontId="9" fillId="0" borderId="0" xfId="1" applyNumberFormat="1" applyFont="1" applyAlignment="1">
      <alignment horizontal="left" indent="1"/>
    </xf>
    <xf numFmtId="170" fontId="9" fillId="38" borderId="59" xfId="77" applyNumberFormat="1" applyFont="1" applyFill="1" applyBorder="1"/>
    <xf numFmtId="168" fontId="35" fillId="0" borderId="0" xfId="0" applyNumberFormat="1" applyFont="1" applyAlignment="1">
      <alignment vertical="center"/>
    </xf>
    <xf numFmtId="0" fontId="0" fillId="132" borderId="0" xfId="0" applyFill="1"/>
    <xf numFmtId="0" fontId="267" fillId="0" borderId="0" xfId="0" applyFont="1" applyAlignment="1">
      <alignment horizontal="left"/>
    </xf>
    <xf numFmtId="0" fontId="0" fillId="0" borderId="119" xfId="0" applyBorder="1"/>
    <xf numFmtId="0" fontId="0" fillId="132" borderId="119" xfId="0" applyFill="1" applyBorder="1"/>
    <xf numFmtId="172" fontId="0" fillId="3" borderId="76" xfId="0" applyNumberFormat="1" applyFill="1" applyBorder="1" applyAlignment="1">
      <alignment horizontal="right" vertical="top"/>
    </xf>
    <xf numFmtId="172" fontId="0" fillId="3" borderId="84" xfId="0" applyNumberFormat="1" applyFill="1" applyBorder="1" applyAlignment="1">
      <alignment horizontal="right" vertical="top"/>
    </xf>
    <xf numFmtId="173" fontId="0" fillId="52" borderId="60" xfId="0" applyNumberFormat="1" applyFill="1" applyBorder="1" applyAlignment="1">
      <alignment horizontal="right" vertical="top"/>
    </xf>
    <xf numFmtId="0" fontId="0" fillId="3" borderId="0" xfId="0" applyFill="1"/>
    <xf numFmtId="172" fontId="9" fillId="131" borderId="59" xfId="2" applyNumberFormat="1" applyFont="1" applyFill="1" applyBorder="1"/>
    <xf numFmtId="172" fontId="9" fillId="131" borderId="60" xfId="2" applyNumberFormat="1" applyFont="1" applyFill="1" applyBorder="1"/>
    <xf numFmtId="172" fontId="9" fillId="131" borderId="68" xfId="2" applyNumberFormat="1" applyFont="1" applyFill="1" applyBorder="1"/>
    <xf numFmtId="172" fontId="9" fillId="131" borderId="69" xfId="2" applyNumberFormat="1" applyFont="1" applyFill="1" applyBorder="1"/>
    <xf numFmtId="0" fontId="9" fillId="0" borderId="0" xfId="0" applyFont="1"/>
    <xf numFmtId="350" fontId="9" fillId="0" borderId="0" xfId="0" applyNumberFormat="1" applyFont="1"/>
    <xf numFmtId="0" fontId="10" fillId="0" borderId="0" xfId="7" applyFont="1" applyAlignment="1">
      <alignment horizontal="center" vertical="center" wrapText="1"/>
    </xf>
    <xf numFmtId="0" fontId="249" fillId="0" borderId="0" xfId="7" applyFont="1" applyAlignment="1">
      <alignment horizontal="center" vertical="center" wrapText="1"/>
    </xf>
    <xf numFmtId="347" fontId="246"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9" fillId="0" borderId="0" xfId="0" applyFont="1" applyAlignment="1">
      <alignment horizontal="left" vertical="center" indent="1"/>
    </xf>
    <xf numFmtId="165" fontId="0" fillId="0" borderId="0" xfId="1" applyNumberFormat="1" applyFont="1" applyFill="1" applyBorder="1" applyAlignment="1">
      <alignment horizontal="right" vertical="top"/>
    </xf>
    <xf numFmtId="0" fontId="0" fillId="0" borderId="0" xfId="0" quotePrefix="1"/>
    <xf numFmtId="172" fontId="10"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7" fillId="133" borderId="0" xfId="0" applyFont="1" applyFill="1" applyAlignment="1">
      <alignment horizontal="left" vertical="top" indent="1"/>
    </xf>
    <xf numFmtId="178" fontId="0" fillId="0" borderId="0" xfId="0" applyNumberFormat="1"/>
    <xf numFmtId="0" fontId="35" fillId="0" borderId="0" xfId="0" applyFont="1"/>
    <xf numFmtId="0" fontId="0" fillId="0" borderId="0" xfId="0" applyAlignment="1" applyProtection="1">
      <alignment horizontal="center"/>
      <protection locked="0"/>
    </xf>
    <xf numFmtId="0" fontId="7"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0" fillId="0" borderId="0" xfId="85" applyFont="1" applyAlignment="1">
      <alignment horizontal="left" vertical="center" wrapText="1"/>
    </xf>
    <xf numFmtId="0" fontId="9" fillId="0" borderId="0" xfId="85" applyFont="1" applyAlignment="1">
      <alignment horizontal="left" vertical="center" wrapText="1"/>
    </xf>
    <xf numFmtId="0" fontId="9"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99" xfId="0" applyNumberFormat="1" applyBorder="1"/>
    <xf numFmtId="173"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0" xfId="0" applyNumberFormat="1" applyBorder="1"/>
    <xf numFmtId="0" fontId="261" fillId="47" borderId="21" xfId="0" applyFont="1" applyFill="1" applyBorder="1" applyAlignment="1">
      <alignment wrapText="1"/>
    </xf>
    <xf numFmtId="0" fontId="9" fillId="42" borderId="120" xfId="7" applyFont="1" applyFill="1" applyBorder="1" applyAlignment="1">
      <alignment horizontal="left" indent="1"/>
    </xf>
    <xf numFmtId="1" fontId="7" fillId="2" borderId="121" xfId="0" applyNumberFormat="1" applyFont="1" applyFill="1" applyBorder="1" applyAlignment="1">
      <alignment horizontal="center" vertical="center"/>
    </xf>
    <xf numFmtId="1" fontId="7"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2" fillId="47" borderId="21" xfId="90" applyFont="1" applyFill="1" applyBorder="1" applyAlignment="1">
      <alignment horizontal="left" indent="1"/>
    </xf>
    <xf numFmtId="0" fontId="262" fillId="47" borderId="21" xfId="90" applyFont="1" applyFill="1" applyBorder="1" applyAlignment="1">
      <alignment horizontal="left"/>
    </xf>
    <xf numFmtId="0" fontId="29" fillId="47" borderId="21" xfId="90" applyFont="1" applyFill="1" applyBorder="1" applyAlignment="1">
      <alignment horizontal="left"/>
    </xf>
    <xf numFmtId="0" fontId="31" fillId="47" borderId="21" xfId="75" applyFont="1" applyFill="1" applyBorder="1"/>
    <xf numFmtId="0" fontId="261"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29" fillId="47" borderId="21" xfId="90" applyFont="1" applyFill="1" applyBorder="1" applyAlignment="1">
      <alignment horizontal="center" vertical="center"/>
    </xf>
    <xf numFmtId="172" fontId="9" fillId="38" borderId="120" xfId="1" applyNumberFormat="1" applyFont="1" applyFill="1" applyBorder="1" applyProtection="1"/>
    <xf numFmtId="0" fontId="265" fillId="47" borderId="21" xfId="90" applyFont="1" applyFill="1" applyBorder="1" applyAlignment="1">
      <alignment horizontal="left"/>
    </xf>
    <xf numFmtId="0" fontId="34" fillId="47" borderId="21" xfId="90" applyFont="1" applyFill="1" applyBorder="1" applyAlignment="1">
      <alignment horizontal="center" vertical="center"/>
    </xf>
    <xf numFmtId="0" fontId="34"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29" fillId="47" borderId="21" xfId="90" applyFont="1" applyFill="1" applyBorder="1" applyAlignment="1">
      <alignment horizontal="center"/>
    </xf>
    <xf numFmtId="172" fontId="10" fillId="52" borderId="121" xfId="2" applyNumberFormat="1" applyFont="1" applyFill="1" applyBorder="1"/>
    <xf numFmtId="172" fontId="9" fillId="38" borderId="121" xfId="1" applyNumberFormat="1" applyFont="1" applyFill="1" applyBorder="1" applyProtection="1"/>
    <xf numFmtId="172" fontId="9" fillId="38" borderId="122" xfId="1" applyNumberFormat="1" applyFont="1" applyFill="1" applyBorder="1" applyProtection="1"/>
    <xf numFmtId="172"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2" fontId="0" fillId="0" borderId="0" xfId="0" applyNumberFormat="1" applyAlignment="1">
      <alignment horizontal="right" vertical="top"/>
    </xf>
    <xf numFmtId="0" fontId="0" fillId="3" borderId="0" xfId="0" applyFill="1" applyAlignment="1">
      <alignment horizontal="left" vertical="top"/>
    </xf>
    <xf numFmtId="0" fontId="7" fillId="3" borderId="0" xfId="0" applyFont="1" applyFill="1" applyAlignment="1">
      <alignment horizontal="left" vertical="top"/>
    </xf>
    <xf numFmtId="0" fontId="7" fillId="3" borderId="0" xfId="0" applyFont="1" applyFill="1" applyAlignment="1">
      <alignment horizontal="center" vertical="center" wrapText="1"/>
    </xf>
    <xf numFmtId="0" fontId="0" fillId="3" borderId="0" xfId="0" applyFill="1" applyAlignment="1">
      <alignment horizontal="right" vertical="top"/>
    </xf>
    <xf numFmtId="1" fontId="7" fillId="2" borderId="8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2" fontId="0" fillId="131" borderId="63" xfId="0" applyNumberFormat="1" applyFill="1" applyBorder="1" applyAlignment="1">
      <alignment horizontal="right" vertical="top"/>
    </xf>
    <xf numFmtId="172" fontId="9" fillId="52" borderId="101" xfId="2" applyNumberFormat="1" applyFont="1" applyFill="1" applyBorder="1" applyAlignment="1">
      <alignment vertical="top"/>
    </xf>
    <xf numFmtId="172" fontId="9" fillId="52" borderId="106" xfId="2" applyNumberFormat="1" applyFont="1" applyFill="1" applyBorder="1" applyAlignment="1">
      <alignment vertical="top"/>
    </xf>
    <xf numFmtId="0" fontId="0" fillId="0" borderId="0" xfId="0" applyAlignment="1">
      <alignment vertical="top"/>
    </xf>
    <xf numFmtId="172" fontId="10" fillId="52" borderId="59" xfId="2" applyNumberFormat="1" applyFont="1" applyFill="1" applyBorder="1"/>
    <xf numFmtId="172" fontId="10" fillId="52" borderId="60" xfId="2" applyNumberFormat="1" applyFont="1" applyFill="1" applyBorder="1"/>
    <xf numFmtId="178" fontId="9" fillId="52" borderId="6" xfId="7" applyNumberFormat="1" applyFont="1" applyFill="1" applyBorder="1" applyAlignment="1">
      <alignment horizontal="center" vertical="center"/>
    </xf>
    <xf numFmtId="172" fontId="9" fillId="38" borderId="76" xfId="1" applyNumberFormat="1" applyFont="1" applyFill="1" applyBorder="1" applyProtection="1"/>
    <xf numFmtId="172" fontId="10" fillId="38" borderId="125" xfId="1" applyNumberFormat="1" applyFont="1" applyFill="1" applyBorder="1" applyProtection="1"/>
    <xf numFmtId="172" fontId="10" fillId="38" borderId="126" xfId="1" applyNumberFormat="1" applyFont="1" applyFill="1" applyBorder="1" applyProtection="1"/>
    <xf numFmtId="172" fontId="10" fillId="38" borderId="127" xfId="1" applyNumberFormat="1" applyFont="1" applyFill="1" applyBorder="1" applyProtection="1"/>
    <xf numFmtId="0" fontId="0" fillId="0" borderId="128" xfId="0" applyBorder="1"/>
    <xf numFmtId="170" fontId="9" fillId="38" borderId="121" xfId="77" applyNumberFormat="1" applyFont="1" applyFill="1" applyBorder="1"/>
    <xf numFmtId="170" fontId="9" fillId="38" borderId="76" xfId="77" applyNumberFormat="1" applyFont="1" applyFill="1" applyBorder="1"/>
    <xf numFmtId="170" fontId="10" fillId="38" borderId="125" xfId="77" applyNumberFormat="1" applyFont="1" applyFill="1" applyBorder="1" applyProtection="1"/>
    <xf numFmtId="170" fontId="10" fillId="38" borderId="127" xfId="77" applyNumberFormat="1" applyFont="1" applyFill="1" applyBorder="1" applyProtection="1"/>
    <xf numFmtId="170" fontId="10" fillId="38" borderId="126" xfId="77" applyNumberFormat="1" applyFont="1" applyFill="1" applyBorder="1" applyProtection="1"/>
    <xf numFmtId="170" fontId="9" fillId="38" borderId="124" xfId="77" applyNumberFormat="1" applyFont="1" applyFill="1" applyBorder="1" applyProtection="1"/>
    <xf numFmtId="170" fontId="9" fillId="38" borderId="77" xfId="77" applyNumberFormat="1" applyFont="1" applyFill="1" applyBorder="1" applyProtection="1"/>
    <xf numFmtId="170" fontId="10" fillId="38" borderId="129" xfId="77" applyNumberFormat="1" applyFont="1" applyFill="1" applyBorder="1" applyProtection="1"/>
    <xf numFmtId="170" fontId="9" fillId="38" borderId="68" xfId="77" applyNumberFormat="1" applyFont="1" applyFill="1" applyBorder="1" applyProtection="1"/>
    <xf numFmtId="9" fontId="0" fillId="0" borderId="6" xfId="77" applyFont="1" applyFill="1" applyBorder="1" applyAlignment="1">
      <alignment horizontal="center" vertical="center"/>
    </xf>
    <xf numFmtId="0" fontId="269" fillId="53" borderId="0" xfId="0" applyFont="1" applyFill="1" applyAlignment="1">
      <alignment horizontal="left" vertical="top"/>
    </xf>
    <xf numFmtId="0" fontId="0" fillId="51" borderId="0" xfId="0" applyFill="1" applyAlignment="1">
      <alignment horizontal="left" vertical="top"/>
    </xf>
    <xf numFmtId="0" fontId="262" fillId="0" borderId="0" xfId="90" applyFont="1" applyAlignment="1">
      <alignment horizontal="left"/>
    </xf>
    <xf numFmtId="0" fontId="261" fillId="0" borderId="0" xfId="0" applyFont="1"/>
    <xf numFmtId="0" fontId="261" fillId="0" borderId="0" xfId="0" applyFont="1" applyAlignment="1">
      <alignment wrapText="1"/>
    </xf>
    <xf numFmtId="0" fontId="261" fillId="0" borderId="0" xfId="0" applyFont="1" applyAlignment="1">
      <alignment horizontal="left" indent="1"/>
    </xf>
    <xf numFmtId="0" fontId="9" fillId="0" borderId="11" xfId="77" applyNumberFormat="1" applyFont="1" applyFill="1" applyBorder="1" applyAlignment="1" applyProtection="1">
      <alignment horizontal="center"/>
    </xf>
    <xf numFmtId="0" fontId="9" fillId="51" borderId="0" xfId="77" applyNumberFormat="1" applyFont="1" applyFill="1" applyBorder="1" applyAlignment="1" applyProtection="1">
      <alignment horizontal="left" indent="1"/>
    </xf>
    <xf numFmtId="0" fontId="10" fillId="51" borderId="0" xfId="77" applyNumberFormat="1" applyFont="1" applyFill="1" applyBorder="1" applyAlignment="1" applyProtection="1">
      <alignment horizontal="left" indent="1"/>
    </xf>
    <xf numFmtId="0" fontId="0" fillId="51" borderId="0" xfId="0" applyFill="1" applyAlignment="1">
      <alignment horizontal="left" indent="1"/>
    </xf>
    <xf numFmtId="0" fontId="7"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2" fontId="9" fillId="52" borderId="87" xfId="1" applyNumberFormat="1" applyFont="1" applyFill="1" applyBorder="1" applyProtection="1"/>
    <xf numFmtId="172" fontId="9" fillId="52" borderId="81" xfId="1" applyNumberFormat="1" applyFont="1" applyFill="1" applyBorder="1" applyProtection="1"/>
    <xf numFmtId="172" fontId="9"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79" fontId="9" fillId="3" borderId="0" xfId="0" applyNumberFormat="1" applyFont="1" applyFill="1" applyAlignment="1" applyProtection="1">
      <alignment horizontal="left" vertical="center" indent="1"/>
      <protection locked="0"/>
    </xf>
    <xf numFmtId="0" fontId="267" fillId="0" borderId="0" xfId="0" applyFont="1" applyAlignment="1">
      <alignment horizontal="left" vertical="top"/>
    </xf>
    <xf numFmtId="0" fontId="270" fillId="0" borderId="0" xfId="0" applyFont="1"/>
    <xf numFmtId="10" fontId="0" fillId="0" borderId="0" xfId="0" applyNumberFormat="1"/>
    <xf numFmtId="173" fontId="0" fillId="0" borderId="128"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3" fontId="0" fillId="117" borderId="132" xfId="0" applyNumberFormat="1" applyFill="1" applyBorder="1" applyAlignment="1">
      <alignment horizontal="right" indent="1"/>
    </xf>
    <xf numFmtId="10" fontId="0" fillId="0" borderId="133" xfId="0" applyNumberFormat="1" applyBorder="1"/>
    <xf numFmtId="173"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3" fontId="0" fillId="117" borderId="136" xfId="0" applyNumberFormat="1" applyFill="1" applyBorder="1" applyAlignment="1">
      <alignment horizontal="right" indent="1"/>
    </xf>
    <xf numFmtId="173" fontId="0" fillId="117" borderId="137" xfId="0" applyNumberFormat="1" applyFill="1" applyBorder="1" applyAlignment="1">
      <alignment horizontal="right" indent="1"/>
    </xf>
    <xf numFmtId="1" fontId="7" fillId="53" borderId="138" xfId="0" applyNumberFormat="1" applyFont="1" applyFill="1" applyBorder="1" applyAlignment="1">
      <alignment horizontal="center" vertical="center"/>
    </xf>
    <xf numFmtId="1" fontId="7" fillId="53" borderId="139" xfId="0" applyNumberFormat="1" applyFont="1" applyFill="1" applyBorder="1" applyAlignment="1">
      <alignment horizontal="center" vertical="center"/>
    </xf>
    <xf numFmtId="1" fontId="7" fillId="53" borderId="140" xfId="0" applyNumberFormat="1" applyFont="1" applyFill="1" applyBorder="1" applyAlignment="1">
      <alignment horizontal="center" vertical="center"/>
    </xf>
    <xf numFmtId="1" fontId="7" fillId="53" borderId="141" xfId="0" applyNumberFormat="1" applyFont="1" applyFill="1" applyBorder="1" applyAlignment="1">
      <alignment horizontal="center" vertical="center"/>
    </xf>
    <xf numFmtId="173" fontId="0" fillId="117" borderId="145" xfId="0" applyNumberFormat="1" applyFill="1" applyBorder="1" applyAlignment="1">
      <alignment horizontal="right" indent="1"/>
    </xf>
    <xf numFmtId="173"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9"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9" fillId="0" borderId="132" xfId="89" applyNumberFormat="1" applyFont="1" applyBorder="1" applyAlignment="1">
      <alignment horizontal="left" indent="1"/>
    </xf>
    <xf numFmtId="0" fontId="0" fillId="0" borderId="151" xfId="0" applyBorder="1" applyAlignment="1">
      <alignment horizontal="center" vertical="center"/>
    </xf>
    <xf numFmtId="3" fontId="9"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9"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9" fillId="0" borderId="158"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7" fillId="116" borderId="0" xfId="0" applyFont="1" applyFill="1" applyAlignment="1">
      <alignment horizontal="left" vertical="center"/>
    </xf>
    <xf numFmtId="0" fontId="271" fillId="0" borderId="0" xfId="0" applyFont="1" applyAlignment="1">
      <alignment horizontal="left" vertical="top"/>
    </xf>
    <xf numFmtId="165" fontId="7" fillId="51" borderId="59" xfId="1" applyNumberFormat="1" applyFont="1" applyFill="1" applyBorder="1" applyAlignment="1">
      <alignment horizontal="right" vertical="top"/>
    </xf>
    <xf numFmtId="172" fontId="0" fillId="51" borderId="59" xfId="0" applyNumberFormat="1" applyFill="1" applyBorder="1" applyAlignment="1">
      <alignment horizontal="right" vertical="top"/>
    </xf>
    <xf numFmtId="165" fontId="10" fillId="0" borderId="0" xfId="1" applyNumberFormat="1" applyFont="1" applyFill="1" applyBorder="1"/>
    <xf numFmtId="172"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352" fontId="9"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3" fillId="0" borderId="0" xfId="92" quotePrefix="1" applyAlignment="1">
      <alignment horizontal="left" indent="1"/>
    </xf>
    <xf numFmtId="172" fontId="271"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2" fontId="0" fillId="0" borderId="0" xfId="0" applyNumberFormat="1" applyAlignment="1">
      <alignment horizontal="right" vertical="center"/>
    </xf>
    <xf numFmtId="0" fontId="272" fillId="0" borderId="0" xfId="90" applyFont="1" applyAlignment="1">
      <alignment horizontal="center"/>
    </xf>
    <xf numFmtId="165" fontId="0" fillId="3" borderId="59" xfId="1" applyNumberFormat="1" applyFont="1" applyFill="1" applyBorder="1" applyAlignment="1">
      <alignment horizontal="right" vertical="top"/>
    </xf>
    <xf numFmtId="0" fontId="7" fillId="0" borderId="10" xfId="0" applyFont="1" applyBorder="1"/>
    <xf numFmtId="165" fontId="10" fillId="38" borderId="6" xfId="1" applyNumberFormat="1" applyFont="1" applyFill="1" applyBorder="1"/>
    <xf numFmtId="165" fontId="10" fillId="0" borderId="11" xfId="1" applyNumberFormat="1" applyFont="1" applyFill="1" applyBorder="1"/>
    <xf numFmtId="0" fontId="271" fillId="0" borderId="10" xfId="0" applyFont="1" applyBorder="1"/>
    <xf numFmtId="0" fontId="9" fillId="37" borderId="6" xfId="75" applyFont="1" applyFill="1" applyBorder="1" applyAlignment="1">
      <alignment horizontal="center" vertical="center"/>
    </xf>
    <xf numFmtId="0" fontId="7"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9" fillId="0" borderId="6" xfId="7" applyFont="1" applyBorder="1" applyAlignment="1">
      <alignment horizontal="left" indent="1"/>
    </xf>
    <xf numFmtId="0" fontId="9" fillId="3" borderId="6" xfId="1" applyNumberFormat="1" applyFont="1" applyFill="1" applyBorder="1" applyAlignment="1" applyProtection="1">
      <alignment horizontal="right" vertical="center"/>
    </xf>
    <xf numFmtId="0" fontId="9" fillId="36" borderId="6" xfId="75" applyFont="1" applyFill="1" applyBorder="1" applyAlignment="1">
      <alignment horizontal="right" vertical="center"/>
    </xf>
    <xf numFmtId="0" fontId="24" fillId="36" borderId="6" xfId="75" applyFont="1" applyFill="1" applyBorder="1"/>
    <xf numFmtId="1" fontId="9" fillId="38" borderId="6" xfId="1" applyNumberFormat="1" applyFont="1" applyFill="1" applyBorder="1" applyAlignment="1" applyProtection="1">
      <alignment horizontal="right" vertical="center"/>
    </xf>
    <xf numFmtId="0" fontId="24" fillId="38" borderId="6" xfId="75" applyFont="1" applyFill="1" applyBorder="1"/>
    <xf numFmtId="0" fontId="9" fillId="0" borderId="6" xfId="7" applyFont="1" applyBorder="1" applyAlignment="1">
      <alignment horizontal="left" wrapText="1" indent="1"/>
    </xf>
    <xf numFmtId="0" fontId="9" fillId="36" borderId="6" xfId="75" applyFont="1" applyFill="1" applyBorder="1" applyAlignment="1">
      <alignment vertical="center"/>
    </xf>
    <xf numFmtId="0" fontId="24" fillId="39" borderId="6" xfId="75" applyFont="1" applyFill="1" applyBorder="1"/>
    <xf numFmtId="0" fontId="24" fillId="40" borderId="6" xfId="75" applyFont="1" applyFill="1" applyBorder="1"/>
    <xf numFmtId="175" fontId="9" fillId="36" borderId="6" xfId="75" applyNumberFormat="1" applyFont="1" applyFill="1" applyBorder="1" applyAlignment="1">
      <alignment vertical="center"/>
    </xf>
    <xf numFmtId="0" fontId="24" fillId="37" borderId="6" xfId="75" applyFont="1" applyFill="1" applyBorder="1"/>
    <xf numFmtId="0" fontId="24" fillId="41" borderId="6" xfId="75" applyFont="1" applyFill="1" applyBorder="1"/>
    <xf numFmtId="0" fontId="24" fillId="0" borderId="6" xfId="75" applyFont="1" applyBorder="1"/>
    <xf numFmtId="0" fontId="261" fillId="47" borderId="128" xfId="0" applyFont="1" applyFill="1" applyBorder="1" applyAlignment="1">
      <alignment wrapText="1"/>
    </xf>
    <xf numFmtId="170" fontId="9" fillId="38" borderId="6" xfId="77" applyNumberFormat="1" applyFont="1" applyFill="1" applyBorder="1" applyAlignment="1" applyProtection="1">
      <alignment vertical="center"/>
    </xf>
    <xf numFmtId="0" fontId="247" fillId="132" borderId="6" xfId="0" applyFont="1" applyFill="1" applyBorder="1" applyAlignment="1">
      <alignment horizontal="center" vertical="center"/>
    </xf>
    <xf numFmtId="10" fontId="9"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9" fillId="42" borderId="6" xfId="7" applyNumberFormat="1" applyFont="1" applyFill="1" applyBorder="1" applyAlignment="1">
      <alignment horizontal="center" vertical="center"/>
    </xf>
    <xf numFmtId="0" fontId="7" fillId="2" borderId="6" xfId="0" applyFont="1" applyFill="1" applyBorder="1" applyAlignment="1">
      <alignment horizontal="center" vertical="center"/>
    </xf>
    <xf numFmtId="0" fontId="10" fillId="2" borderId="6" xfId="7" applyFont="1" applyFill="1" applyBorder="1" applyAlignment="1">
      <alignment horizontal="center" vertical="center"/>
    </xf>
    <xf numFmtId="0" fontId="0" fillId="0" borderId="6" xfId="0" applyBorder="1" applyAlignment="1">
      <alignment wrapText="1"/>
    </xf>
    <xf numFmtId="0" fontId="9"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2" fillId="0" borderId="6" xfId="75" applyFont="1" applyBorder="1" applyAlignment="1">
      <alignment horizontal="center" vertical="center"/>
    </xf>
    <xf numFmtId="0" fontId="23" fillId="0" borderId="6" xfId="75" applyFont="1" applyBorder="1" applyAlignment="1">
      <alignment horizontal="center"/>
    </xf>
    <xf numFmtId="175" fontId="9" fillId="36" borderId="6" xfId="75" applyNumberFormat="1" applyFont="1" applyFill="1" applyBorder="1"/>
    <xf numFmtId="0" fontId="29" fillId="47" borderId="128" xfId="90" applyFont="1" applyFill="1" applyBorder="1" applyAlignment="1">
      <alignment horizontal="left"/>
    </xf>
    <xf numFmtId="0" fontId="31" fillId="47" borderId="128" xfId="75" applyFont="1" applyFill="1" applyBorder="1"/>
    <xf numFmtId="0" fontId="262" fillId="47" borderId="128" xfId="90" applyFont="1" applyFill="1" applyBorder="1" applyAlignment="1">
      <alignment horizontal="left" indent="1"/>
    </xf>
    <xf numFmtId="0" fontId="29" fillId="47" borderId="128" xfId="90" applyFont="1" applyFill="1" applyBorder="1" applyAlignment="1">
      <alignment horizontal="center" vertical="center"/>
    </xf>
    <xf numFmtId="165" fontId="9"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2" fontId="9" fillId="38" borderId="6" xfId="1" applyNumberFormat="1" applyFont="1" applyFill="1" applyBorder="1" applyProtection="1"/>
    <xf numFmtId="0" fontId="34" fillId="47" borderId="128" xfId="90" applyFont="1" applyFill="1" applyBorder="1" applyAlignment="1">
      <alignment horizontal="center" vertical="center"/>
    </xf>
    <xf numFmtId="0" fontId="34" fillId="47" borderId="128" xfId="90" applyFont="1" applyFill="1" applyBorder="1" applyAlignment="1">
      <alignment horizontal="left"/>
    </xf>
    <xf numFmtId="2" fontId="9" fillId="40" borderId="6" xfId="75" applyNumberFormat="1" applyFont="1" applyFill="1" applyBorder="1"/>
    <xf numFmtId="0" fontId="264" fillId="47" borderId="128" xfId="90" applyFont="1" applyFill="1" applyBorder="1" applyAlignment="1">
      <alignment horizontal="left"/>
    </xf>
    <xf numFmtId="0" fontId="262" fillId="47" borderId="128" xfId="90" applyFont="1" applyFill="1" applyBorder="1" applyAlignment="1">
      <alignment horizontal="left"/>
    </xf>
    <xf numFmtId="172" fontId="10" fillId="42" borderId="28" xfId="1" applyNumberFormat="1" applyFont="1" applyFill="1" applyBorder="1" applyProtection="1"/>
    <xf numFmtId="172" fontId="10" fillId="42" borderId="28" xfId="2" applyNumberFormat="1" applyFont="1" applyFill="1" applyBorder="1" applyAlignment="1">
      <alignment horizontal="right" vertical="center"/>
    </xf>
    <xf numFmtId="172" fontId="9" fillId="3" borderId="6" xfId="2" applyNumberFormat="1" applyFont="1" applyFill="1" applyBorder="1"/>
    <xf numFmtId="0" fontId="272" fillId="47" borderId="128" xfId="90" applyFont="1" applyFill="1" applyBorder="1" applyAlignment="1">
      <alignment horizontal="center"/>
    </xf>
    <xf numFmtId="0" fontId="0" fillId="134" borderId="6" xfId="0" applyFill="1" applyBorder="1"/>
    <xf numFmtId="172" fontId="0" fillId="3" borderId="6" xfId="0" applyNumberFormat="1" applyFill="1" applyBorder="1" applyAlignment="1">
      <alignment horizontal="right" vertical="top"/>
    </xf>
    <xf numFmtId="172" fontId="0" fillId="52" borderId="6" xfId="0" applyNumberFormat="1" applyFill="1" applyBorder="1"/>
    <xf numFmtId="0" fontId="0" fillId="0" borderId="6" xfId="0" applyBorder="1" applyAlignment="1">
      <alignment horizontal="center" vertical="top"/>
    </xf>
    <xf numFmtId="172" fontId="0" fillId="0" borderId="6" xfId="0" applyNumberFormat="1" applyBorder="1" applyAlignment="1">
      <alignment horizontal="right" vertical="top"/>
    </xf>
    <xf numFmtId="172" fontId="9" fillId="131" borderId="6" xfId="2" applyNumberFormat="1" applyFont="1" applyFill="1" applyBorder="1"/>
    <xf numFmtId="14" fontId="9" fillId="3" borderId="6" xfId="2" applyNumberFormat="1" applyFont="1" applyFill="1" applyBorder="1"/>
    <xf numFmtId="0" fontId="9" fillId="3" borderId="6" xfId="2" applyNumberFormat="1" applyFont="1" applyFill="1" applyBorder="1" applyAlignment="1">
      <alignment horizontal="center" vertical="center"/>
    </xf>
    <xf numFmtId="172" fontId="9" fillId="38" borderId="6" xfId="1" applyNumberFormat="1" applyFont="1" applyFill="1" applyBorder="1" applyAlignment="1" applyProtection="1">
      <alignment horizontal="right"/>
    </xf>
    <xf numFmtId="0" fontId="26" fillId="0" borderId="0" xfId="0" applyFont="1" applyAlignment="1">
      <alignment horizontal="left"/>
    </xf>
    <xf numFmtId="165" fontId="9" fillId="52" borderId="6" xfId="1" applyNumberFormat="1" applyFont="1" applyFill="1" applyBorder="1"/>
    <xf numFmtId="0" fontId="25" fillId="0" borderId="10" xfId="0" applyFont="1" applyBorder="1"/>
    <xf numFmtId="351" fontId="0" fillId="52" borderId="6" xfId="0" applyNumberFormat="1" applyFill="1" applyBorder="1"/>
    <xf numFmtId="0" fontId="7" fillId="0" borderId="10" xfId="0" applyFont="1" applyBorder="1" applyAlignment="1">
      <alignment horizontal="left" vertical="top"/>
    </xf>
    <xf numFmtId="0" fontId="0" fillId="0" borderId="10" xfId="0" applyBorder="1"/>
    <xf numFmtId="0" fontId="28" fillId="0" borderId="10" xfId="0" applyFont="1" applyBorder="1"/>
    <xf numFmtId="0" fontId="0" fillId="0" borderId="10" xfId="0" applyBorder="1" applyAlignment="1">
      <alignment horizontal="left" vertical="top"/>
    </xf>
    <xf numFmtId="165" fontId="10" fillId="38" borderId="11" xfId="1" applyNumberFormat="1" applyFont="1" applyFill="1" applyBorder="1"/>
    <xf numFmtId="0" fontId="10"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2" fontId="0" fillId="3" borderId="71" xfId="0" applyNumberFormat="1" applyFill="1" applyBorder="1" applyAlignment="1">
      <alignment horizontal="right" vertical="center"/>
    </xf>
    <xf numFmtId="173" fontId="0" fillId="0" borderId="6" xfId="0" applyNumberFormat="1" applyBorder="1" applyAlignment="1">
      <alignment horizontal="center" vertical="center"/>
    </xf>
    <xf numFmtId="173" fontId="9" fillId="0" borderId="6" xfId="7" applyNumberFormat="1" applyFont="1" applyBorder="1" applyAlignment="1">
      <alignment horizontal="center" vertical="center"/>
    </xf>
    <xf numFmtId="9" fontId="8" fillId="0" borderId="6" xfId="77" applyFont="1" applyFill="1" applyBorder="1" applyAlignment="1">
      <alignment horizontal="center" vertical="center"/>
    </xf>
    <xf numFmtId="173"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9" fillId="51" borderId="0" xfId="0" applyFont="1" applyFill="1" applyAlignment="1">
      <alignment horizontal="left" indent="1"/>
    </xf>
    <xf numFmtId="172" fontId="10" fillId="51" borderId="125" xfId="1" applyNumberFormat="1" applyFont="1" applyFill="1" applyBorder="1" applyProtection="1"/>
    <xf numFmtId="168" fontId="10" fillId="0" borderId="0" xfId="0" applyNumberFormat="1" applyFont="1" applyAlignment="1">
      <alignment vertical="center"/>
    </xf>
    <xf numFmtId="172" fontId="9" fillId="0" borderId="0" xfId="0" applyNumberFormat="1" applyFont="1" applyAlignment="1">
      <alignment horizontal="left" vertical="center" indent="1"/>
    </xf>
    <xf numFmtId="172" fontId="0" fillId="0" borderId="0" xfId="0" applyNumberFormat="1" applyAlignment="1" applyProtection="1">
      <alignment horizontal="center" vertical="center"/>
      <protection locked="0"/>
    </xf>
    <xf numFmtId="168" fontId="28" fillId="0" borderId="0" xfId="0" applyNumberFormat="1" applyFont="1" applyAlignment="1">
      <alignment horizontal="left" vertical="center" indent="1"/>
    </xf>
    <xf numFmtId="172" fontId="0" fillId="52" borderId="72" xfId="0" applyNumberFormat="1" applyFill="1" applyBorder="1" applyAlignment="1">
      <alignment horizontal="right" vertical="center"/>
    </xf>
    <xf numFmtId="0" fontId="0" fillId="116" borderId="0" xfId="0" applyFill="1" applyAlignment="1">
      <alignment horizontal="left" vertical="top"/>
    </xf>
    <xf numFmtId="0" fontId="247" fillId="116" borderId="0" xfId="0" applyFont="1" applyFill="1" applyAlignment="1">
      <alignment vertical="top"/>
    </xf>
    <xf numFmtId="172" fontId="0" fillId="52" borderId="63" xfId="0" applyNumberFormat="1" applyFill="1" applyBorder="1" applyAlignment="1">
      <alignment horizontal="right" vertical="top"/>
    </xf>
    <xf numFmtId="172" fontId="0" fillId="51" borderId="63" xfId="0" applyNumberFormat="1" applyFill="1" applyBorder="1" applyAlignment="1">
      <alignment horizontal="right" vertical="top"/>
    </xf>
    <xf numFmtId="172" fontId="7"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78" fontId="0" fillId="52" borderId="6" xfId="0" applyNumberFormat="1" applyFill="1" applyBorder="1" applyAlignment="1">
      <alignment horizontal="right" vertical="top"/>
    </xf>
    <xf numFmtId="14" fontId="9" fillId="51" borderId="0" xfId="2" applyNumberFormat="1" applyFont="1" applyFill="1" applyBorder="1" applyAlignment="1">
      <alignment horizontal="center" vertical="center"/>
    </xf>
    <xf numFmtId="168" fontId="273" fillId="48" borderId="0" xfId="94" applyFont="1">
      <alignment vertical="center"/>
    </xf>
    <xf numFmtId="0" fontId="25" fillId="0" borderId="0" xfId="0" applyFont="1" applyAlignment="1">
      <alignment horizontal="left" vertical="top"/>
    </xf>
    <xf numFmtId="165" fontId="9" fillId="51" borderId="6" xfId="1" applyNumberFormat="1" applyFont="1" applyFill="1" applyBorder="1"/>
    <xf numFmtId="172" fontId="9" fillId="3" borderId="76" xfId="2" applyNumberFormat="1" applyFont="1" applyFill="1" applyBorder="1"/>
    <xf numFmtId="172" fontId="9" fillId="3" borderId="87" xfId="2" applyNumberFormat="1" applyFont="1" applyFill="1" applyBorder="1"/>
    <xf numFmtId="172" fontId="10" fillId="3" borderId="74" xfId="2" applyNumberFormat="1" applyFont="1" applyFill="1" applyBorder="1"/>
    <xf numFmtId="172" fontId="10" fillId="3" borderId="75" xfId="2" applyNumberFormat="1" applyFont="1" applyFill="1" applyBorder="1"/>
    <xf numFmtId="351" fontId="10" fillId="52" borderId="71" xfId="2" applyNumberFormat="1" applyFont="1" applyFill="1" applyBorder="1"/>
    <xf numFmtId="172" fontId="0" fillId="131" borderId="69" xfId="0" applyNumberFormat="1" applyFill="1" applyBorder="1" applyAlignment="1">
      <alignment horizontal="right" vertical="top"/>
    </xf>
    <xf numFmtId="172" fontId="0" fillId="131" borderId="62" xfId="0" applyNumberFormat="1" applyFill="1" applyBorder="1" applyAlignment="1">
      <alignment horizontal="right" vertical="top"/>
    </xf>
    <xf numFmtId="2" fontId="9" fillId="131" borderId="6" xfId="75" applyNumberFormat="1" applyFont="1" applyFill="1" applyBorder="1"/>
    <xf numFmtId="3" fontId="9" fillId="51" borderId="0" xfId="1" applyNumberFormat="1" applyFont="1" applyFill="1" applyBorder="1" applyAlignment="1" applyProtection="1">
      <alignment horizontal="left" indent="1"/>
    </xf>
    <xf numFmtId="165" fontId="0" fillId="51" borderId="59" xfId="1" applyNumberFormat="1" applyFont="1" applyFill="1" applyBorder="1" applyAlignment="1">
      <alignment horizontal="right" vertical="top"/>
    </xf>
    <xf numFmtId="168" fontId="9" fillId="0" borderId="0" xfId="0" applyNumberFormat="1" applyFont="1" applyAlignment="1">
      <alignment vertical="center"/>
    </xf>
    <xf numFmtId="0" fontId="7" fillId="0" borderId="0" xfId="0" applyFont="1" applyAlignment="1">
      <alignment vertical="top"/>
    </xf>
    <xf numFmtId="168" fontId="9" fillId="3" borderId="0" xfId="0" applyNumberFormat="1" applyFont="1" applyFill="1" applyAlignment="1">
      <alignment horizontal="left" vertical="center" indent="1"/>
    </xf>
    <xf numFmtId="172" fontId="9" fillId="52" borderId="62" xfId="2" applyNumberFormat="1" applyFont="1" applyFill="1" applyBorder="1"/>
    <xf numFmtId="0" fontId="10" fillId="0" borderId="0" xfId="0" applyFont="1" applyAlignment="1">
      <alignment horizontal="left" vertical="top" indent="1"/>
    </xf>
    <xf numFmtId="172" fontId="0" fillId="51" borderId="93" xfId="0" applyNumberFormat="1" applyFill="1" applyBorder="1" applyAlignment="1">
      <alignment horizontal="right" vertical="top"/>
    </xf>
    <xf numFmtId="172" fontId="10" fillId="52" borderId="74" xfId="2" applyNumberFormat="1" applyFont="1" applyFill="1" applyBorder="1"/>
    <xf numFmtId="172" fontId="9" fillId="131" borderId="71" xfId="2" applyNumberFormat="1" applyFont="1" applyFill="1" applyBorder="1"/>
    <xf numFmtId="0" fontId="274" fillId="0" borderId="0" xfId="0" applyFont="1"/>
    <xf numFmtId="0" fontId="275" fillId="0" borderId="0" xfId="0" applyFont="1"/>
    <xf numFmtId="0" fontId="0" fillId="135" borderId="0" xfId="0" applyFill="1" applyAlignment="1">
      <alignment horizontal="left" vertical="top" indent="1"/>
    </xf>
    <xf numFmtId="172" fontId="24" fillId="39" borderId="6" xfId="75" applyNumberFormat="1" applyFont="1" applyFill="1" applyBorder="1"/>
    <xf numFmtId="170" fontId="9" fillId="38" borderId="61" xfId="77" applyNumberFormat="1" applyFont="1" applyFill="1" applyBorder="1"/>
    <xf numFmtId="170" fontId="9" fillId="38" borderId="64" xfId="77" applyNumberFormat="1" applyFont="1" applyFill="1" applyBorder="1"/>
    <xf numFmtId="353" fontId="9" fillId="0" borderId="0" xfId="2" applyNumberFormat="1" applyFont="1" applyFill="1" applyBorder="1" applyAlignment="1">
      <alignment horizontal="center"/>
    </xf>
    <xf numFmtId="172" fontId="10" fillId="52" borderId="164" xfId="2" applyNumberFormat="1" applyFont="1" applyFill="1" applyBorder="1"/>
    <xf numFmtId="172" fontId="10" fillId="52" borderId="123" xfId="2" applyNumberFormat="1" applyFont="1" applyFill="1" applyBorder="1"/>
    <xf numFmtId="353" fontId="9" fillId="54" borderId="71" xfId="2" applyNumberFormat="1" applyFont="1" applyFill="1" applyBorder="1" applyAlignment="1">
      <alignment horizontal="center"/>
    </xf>
    <xf numFmtId="353" fontId="9" fillId="54" borderId="164" xfId="2" applyNumberFormat="1" applyFont="1" applyFill="1" applyBorder="1" applyAlignment="1">
      <alignment horizontal="center"/>
    </xf>
    <xf numFmtId="353" fontId="9" fillId="54" borderId="123" xfId="2" applyNumberFormat="1" applyFont="1" applyFill="1" applyBorder="1" applyAlignment="1">
      <alignment horizontal="center"/>
    </xf>
    <xf numFmtId="3" fontId="9" fillId="51" borderId="0" xfId="77" applyNumberFormat="1" applyFont="1" applyFill="1" applyBorder="1" applyAlignment="1" applyProtection="1">
      <alignment horizontal="left" indent="1"/>
    </xf>
    <xf numFmtId="172" fontId="9" fillId="0" borderId="0" xfId="2" applyNumberFormat="1" applyFont="1"/>
    <xf numFmtId="0" fontId="271" fillId="116" borderId="0" xfId="0" applyFont="1" applyFill="1" applyAlignment="1">
      <alignment horizontal="left" vertical="top"/>
    </xf>
    <xf numFmtId="0" fontId="0" fillId="116" borderId="0" xfId="0" applyFill="1" applyAlignment="1">
      <alignment horizontal="left" vertical="top" indent="1"/>
    </xf>
    <xf numFmtId="0" fontId="262" fillId="47" borderId="166" xfId="90" applyFont="1" applyFill="1" applyBorder="1" applyAlignment="1">
      <alignment horizontal="left"/>
    </xf>
    <xf numFmtId="0" fontId="261" fillId="47" borderId="167" xfId="0" applyFont="1" applyFill="1" applyBorder="1" applyAlignment="1">
      <alignment wrapText="1"/>
    </xf>
    <xf numFmtId="0" fontId="0" fillId="52" borderId="166" xfId="0" applyFill="1" applyBorder="1" applyAlignment="1">
      <alignment horizontal="center" wrapText="1"/>
    </xf>
    <xf numFmtId="0" fontId="0" fillId="52" borderId="167" xfId="0" applyFill="1" applyBorder="1"/>
    <xf numFmtId="0" fontId="30" fillId="47" borderId="167" xfId="75" applyFont="1" applyFill="1" applyBorder="1"/>
    <xf numFmtId="0" fontId="0" fillId="47" borderId="167" xfId="0" applyFill="1" applyBorder="1"/>
    <xf numFmtId="0" fontId="28" fillId="0" borderId="166" xfId="0" applyFont="1" applyBorder="1"/>
    <xf numFmtId="0" fontId="31" fillId="47" borderId="167" xfId="75" applyFont="1" applyFill="1" applyBorder="1"/>
    <xf numFmtId="0" fontId="264" fillId="47" borderId="166" xfId="90" applyFont="1" applyFill="1" applyBorder="1" applyAlignment="1">
      <alignment horizontal="left"/>
    </xf>
    <xf numFmtId="0" fontId="0" fillId="3" borderId="0" xfId="0" applyFill="1" applyAlignment="1">
      <alignment horizontal="left" vertical="top" indent="1"/>
    </xf>
    <xf numFmtId="172" fontId="10" fillId="38" borderId="71" xfId="1" applyNumberFormat="1" applyFont="1" applyFill="1" applyBorder="1"/>
    <xf numFmtId="0" fontId="0" fillId="0" borderId="0" xfId="0" quotePrefix="1" applyAlignment="1">
      <alignment horizontal="left" vertical="top"/>
    </xf>
    <xf numFmtId="43" fontId="0" fillId="0" borderId="0" xfId="0" applyNumberFormat="1"/>
    <xf numFmtId="0" fontId="0" fillId="3" borderId="6" xfId="0" applyFill="1" applyBorder="1" applyAlignment="1">
      <alignment horizontal="center"/>
    </xf>
    <xf numFmtId="0" fontId="0" fillId="3" borderId="6" xfId="0" applyFill="1" applyBorder="1" applyAlignment="1">
      <alignment horizontal="center" wrapText="1"/>
    </xf>
    <xf numFmtId="0" fontId="0" fillId="0" borderId="0" xfId="0" applyAlignment="1">
      <alignment horizontal="center"/>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1" fontId="7" fillId="0" borderId="142" xfId="0" applyNumberFormat="1" applyFont="1" applyBorder="1" applyAlignment="1">
      <alignment horizontal="center" vertical="center"/>
    </xf>
    <xf numFmtId="1" fontId="7" fillId="0" borderId="143" xfId="0" applyNumberFormat="1" applyFont="1" applyBorder="1" applyAlignment="1">
      <alignment horizontal="center" vertical="center"/>
    </xf>
    <xf numFmtId="1" fontId="7"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173" fontId="0" fillId="117" borderId="100" xfId="0" applyNumberFormat="1" applyFill="1" applyBorder="1" applyAlignment="1">
      <alignment horizontal="center"/>
    </xf>
    <xf numFmtId="173" fontId="0" fillId="117" borderId="95" xfId="0" applyNumberFormat="1" applyFill="1" applyBorder="1" applyAlignment="1">
      <alignment horizontal="center"/>
    </xf>
    <xf numFmtId="173" fontId="0" fillId="117" borderId="61" xfId="0" applyNumberFormat="1" applyFill="1" applyBorder="1" applyAlignment="1">
      <alignment horizontal="center"/>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9" fillId="36" borderId="6" xfId="75" applyFont="1" applyFill="1" applyBorder="1" applyAlignment="1">
      <alignment horizontal="left" vertical="top" wrapText="1"/>
    </xf>
    <xf numFmtId="0" fontId="0" fillId="0" borderId="6" xfId="0" applyBorder="1" applyAlignment="1">
      <alignment horizontal="left" vertical="top" wrapText="1"/>
    </xf>
    <xf numFmtId="0" fontId="32" fillId="0" borderId="6" xfId="75" applyFont="1" applyBorder="1" applyAlignment="1">
      <alignment horizontal="center" vertical="center" wrapText="1"/>
    </xf>
    <xf numFmtId="0" fontId="0" fillId="0" borderId="6" xfId="0" applyBorder="1" applyAlignment="1">
      <alignment wrapText="1"/>
    </xf>
    <xf numFmtId="0" fontId="0" fillId="3" borderId="166" xfId="0" applyFill="1" applyBorder="1" applyAlignment="1">
      <alignment horizontal="left" vertical="top" wrapText="1"/>
    </xf>
    <xf numFmtId="0" fontId="0" fillId="3" borderId="21" xfId="0" applyFill="1" applyBorder="1" applyAlignment="1">
      <alignment horizontal="left" vertical="top" wrapText="1"/>
    </xf>
    <xf numFmtId="0" fontId="0" fillId="3" borderId="167" xfId="0" applyFill="1" applyBorder="1" applyAlignment="1">
      <alignment horizontal="left" vertical="top" wrapText="1"/>
    </xf>
    <xf numFmtId="0" fontId="0" fillId="3" borderId="10" xfId="0" applyFill="1" applyBorder="1" applyAlignment="1">
      <alignment horizontal="left" vertical="top" wrapText="1"/>
    </xf>
    <xf numFmtId="0" fontId="0" fillId="3" borderId="0" xfId="0" applyFill="1" applyBorder="1" applyAlignment="1">
      <alignment horizontal="left" vertical="top" wrapText="1"/>
    </xf>
    <xf numFmtId="0" fontId="0" fillId="3" borderId="11" xfId="0" applyFill="1" applyBorder="1" applyAlignment="1">
      <alignment horizontal="left" vertical="top" wrapText="1"/>
    </xf>
    <xf numFmtId="0" fontId="0" fillId="3" borderId="89" xfId="0" applyFill="1" applyBorder="1" applyAlignment="1">
      <alignment horizontal="left" vertical="top" wrapText="1"/>
    </xf>
    <xf numFmtId="0" fontId="0" fillId="3" borderId="128" xfId="0" applyFill="1" applyBorder="1" applyAlignment="1">
      <alignment horizontal="left" vertical="top" wrapText="1"/>
    </xf>
    <xf numFmtId="0" fontId="0" fillId="3" borderId="90" xfId="0" applyFill="1" applyBorder="1" applyAlignment="1">
      <alignment horizontal="left" vertical="top" wrapText="1"/>
    </xf>
    <xf numFmtId="0" fontId="0" fillId="3" borderId="21" xfId="0" applyFill="1" applyBorder="1" applyAlignment="1">
      <alignment wrapText="1"/>
    </xf>
    <xf numFmtId="0" fontId="0" fillId="3" borderId="167" xfId="0" applyFill="1" applyBorder="1" applyAlignment="1">
      <alignment wrapText="1"/>
    </xf>
    <xf numFmtId="0" fontId="0" fillId="3" borderId="0" xfId="0" applyFill="1" applyAlignment="1">
      <alignment horizontal="left" vertical="top" indent="1"/>
    </xf>
    <xf numFmtId="0" fontId="247" fillId="116" borderId="0" xfId="0" applyFont="1" applyFill="1" applyAlignment="1">
      <alignment horizontal="left" vertical="top" wrapText="1"/>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5" xfId="0" applyFill="1" applyBorder="1" applyAlignment="1">
      <alignment horizontal="center" vertical="top" wrapText="1"/>
    </xf>
    <xf numFmtId="0" fontId="0" fillId="53" borderId="163" xfId="0" applyFill="1" applyBorder="1" applyAlignment="1">
      <alignment horizontal="center" vertical="top" wrapText="1"/>
    </xf>
    <xf numFmtId="0" fontId="0" fillId="53" borderId="105" xfId="0" applyFill="1" applyBorder="1" applyAlignment="1">
      <alignment horizontal="center" vertical="top" wrapText="1"/>
    </xf>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4">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tabSelected="1" zoomScale="85" zoomScaleNormal="85" zoomScaleSheetLayoutView="90" workbookViewId="0">
      <selection activeCell="C7" sqref="C7"/>
    </sheetView>
  </sheetViews>
  <sheetFormatPr defaultRowHeight="12.75"/>
  <cols>
    <col min="1" max="1" width="8.375" customWidth="1"/>
    <col min="2" max="2" width="41.5" customWidth="1"/>
    <col min="3" max="6" width="14.125" customWidth="1"/>
    <col min="7" max="7" width="14.125" style="88" customWidth="1"/>
    <col min="8" max="11" width="14.125" customWidth="1"/>
  </cols>
  <sheetData>
    <row r="1" spans="1:11" s="692" customFormat="1" ht="56.85" customHeight="1"/>
    <row r="2" spans="1:11" ht="20.25">
      <c r="A2" s="294" t="s">
        <v>0</v>
      </c>
      <c r="B2" s="295"/>
      <c r="C2" s="295"/>
      <c r="D2" s="296"/>
      <c r="E2" s="297"/>
      <c r="F2" s="295"/>
      <c r="G2" s="298"/>
      <c r="H2" s="295"/>
      <c r="I2" s="295"/>
      <c r="J2" s="295"/>
      <c r="K2" s="295"/>
    </row>
    <row r="3" spans="1:11" ht="20.25">
      <c r="A3" s="294" t="str">
        <f>Licensee</f>
        <v>SPT</v>
      </c>
      <c r="B3" s="295"/>
      <c r="C3" s="295"/>
      <c r="D3" s="297"/>
      <c r="E3" s="297"/>
      <c r="F3" s="295"/>
      <c r="G3" s="298"/>
      <c r="H3" s="295"/>
      <c r="I3" s="295"/>
      <c r="J3" s="295"/>
      <c r="K3" s="295"/>
    </row>
    <row r="4" spans="1:11" ht="20.25">
      <c r="A4" s="294" t="s">
        <v>1</v>
      </c>
      <c r="B4" s="295"/>
      <c r="C4" s="295"/>
      <c r="D4" s="297"/>
      <c r="E4" s="297"/>
      <c r="F4" s="295"/>
      <c r="G4" s="298"/>
      <c r="H4" s="295"/>
      <c r="I4" s="295"/>
      <c r="J4" s="295"/>
      <c r="K4" s="295"/>
    </row>
    <row r="5" spans="1:11" ht="20.25">
      <c r="A5" s="452"/>
      <c r="B5" s="453"/>
      <c r="C5" s="453"/>
      <c r="D5" s="454"/>
      <c r="E5" s="454"/>
      <c r="F5" s="453"/>
      <c r="G5" s="455"/>
      <c r="H5" s="453"/>
      <c r="I5" s="453"/>
      <c r="J5" s="453"/>
      <c r="K5" s="453"/>
    </row>
    <row r="6" spans="1:11" ht="14.25">
      <c r="A6" s="17"/>
      <c r="B6" s="539" t="s">
        <v>2</v>
      </c>
      <c r="C6" s="540">
        <v>2022</v>
      </c>
      <c r="D6" s="17"/>
      <c r="E6" s="17"/>
      <c r="H6" s="4"/>
      <c r="I6" s="4"/>
      <c r="J6" s="4"/>
    </row>
    <row r="7" spans="1:11" ht="13.5" customHeight="1">
      <c r="A7" s="17"/>
      <c r="B7" s="539" t="s">
        <v>3</v>
      </c>
      <c r="C7" s="541" t="s">
        <v>86</v>
      </c>
      <c r="D7" s="136"/>
      <c r="E7" s="10"/>
      <c r="F7" s="542"/>
      <c r="G7" s="193" t="s">
        <v>5</v>
      </c>
      <c r="H7" s="4"/>
      <c r="I7" s="4"/>
      <c r="J7" s="4"/>
    </row>
    <row r="8" spans="1:11" ht="13.5" customHeight="1">
      <c r="A8" s="17"/>
      <c r="B8" s="539" t="s">
        <v>6</v>
      </c>
      <c r="C8" s="543" t="str">
        <f>INDEX(Data!$A$55:$A$83,MATCH($C$7,Data!$B$55:$B$83,0),0)&amp;"2"</f>
        <v>ET2</v>
      </c>
      <c r="D8" s="136"/>
      <c r="E8" s="10"/>
      <c r="F8" s="544"/>
      <c r="G8" s="193" t="s">
        <v>7</v>
      </c>
      <c r="H8" s="4"/>
      <c r="I8" s="4"/>
      <c r="J8" s="4"/>
    </row>
    <row r="9" spans="1:11" ht="25.5">
      <c r="A9" s="17"/>
      <c r="B9" s="545" t="s">
        <v>8</v>
      </c>
      <c r="C9" s="546">
        <v>2022</v>
      </c>
      <c r="D9" s="136"/>
      <c r="E9" s="10"/>
      <c r="F9" s="547"/>
      <c r="G9" s="194" t="s">
        <v>9</v>
      </c>
      <c r="H9" s="4"/>
      <c r="I9" s="4"/>
      <c r="J9" s="4"/>
    </row>
    <row r="10" spans="1:11" ht="14.25">
      <c r="A10" s="17"/>
      <c r="B10" s="539" t="s">
        <v>10</v>
      </c>
      <c r="C10" s="546"/>
      <c r="D10" s="10"/>
      <c r="E10" s="9"/>
      <c r="F10" s="548"/>
      <c r="G10" s="193" t="s">
        <v>11</v>
      </c>
      <c r="H10" s="4"/>
      <c r="I10" s="4"/>
      <c r="J10" s="4"/>
    </row>
    <row r="11" spans="1:11" ht="14.25">
      <c r="A11" s="17"/>
      <c r="B11" s="539" t="s">
        <v>12</v>
      </c>
      <c r="C11" s="549"/>
      <c r="D11" s="9"/>
      <c r="E11" s="9"/>
      <c r="F11" s="550"/>
      <c r="G11" s="193" t="s">
        <v>13</v>
      </c>
      <c r="H11" s="4"/>
      <c r="I11" s="4"/>
      <c r="J11" s="4"/>
    </row>
    <row r="12" spans="1:11" ht="14.25">
      <c r="A12" s="17"/>
      <c r="D12" s="9"/>
      <c r="E12" s="9"/>
      <c r="F12" s="551"/>
      <c r="G12" s="193" t="s">
        <v>14</v>
      </c>
      <c r="H12" s="4"/>
      <c r="I12" s="4"/>
      <c r="J12" s="4"/>
    </row>
    <row r="13" spans="1:11" ht="14.25">
      <c r="A13" s="17"/>
      <c r="D13" s="10"/>
      <c r="E13" s="10"/>
      <c r="F13" s="552"/>
      <c r="G13" s="193" t="s">
        <v>15</v>
      </c>
      <c r="H13" s="4"/>
      <c r="I13" s="4"/>
      <c r="J13" s="4"/>
    </row>
    <row r="14" spans="1:11">
      <c r="A14" s="17"/>
      <c r="D14" s="9"/>
      <c r="E14" s="9"/>
      <c r="F14" s="9"/>
      <c r="G14" s="195"/>
    </row>
    <row r="15" spans="1:11">
      <c r="A15" s="17"/>
      <c r="D15" s="9"/>
      <c r="E15" s="9"/>
    </row>
    <row r="16" spans="1:11">
      <c r="A16" s="17"/>
      <c r="D16" s="9"/>
      <c r="E16" s="9"/>
    </row>
    <row r="17" spans="1:7">
      <c r="A17" s="17"/>
      <c r="B17" s="9"/>
      <c r="C17" s="9"/>
      <c r="D17" s="9"/>
      <c r="E17" s="9"/>
      <c r="F17" s="9"/>
      <c r="G17" s="195"/>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headerFooter>
    <oddFooter>&amp;C&amp;"Calibri"&amp;11&amp;K000000_x000D_&amp;1#&amp;"Calibri"&amp;12&amp;K008000Internal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263"/>
  <sheetViews>
    <sheetView showGridLines="0" zoomScale="85" zoomScaleNormal="85" workbookViewId="0">
      <pane ySplit="4" topLeftCell="A5" activePane="bottomLeft" state="frozen"/>
      <selection activeCell="B26" sqref="B26"/>
      <selection pane="bottomLeft" activeCell="B2" sqref="B2"/>
    </sheetView>
  </sheetViews>
  <sheetFormatPr defaultRowHeight="12.75"/>
  <cols>
    <col min="1" max="1" width="8.375" customWidth="1"/>
    <col min="2" max="2" width="45.5" customWidth="1"/>
    <col min="3" max="3" width="17.75" customWidth="1"/>
    <col min="4" max="4" width="13" customWidth="1"/>
    <col min="5" max="5" width="11.75" customWidth="1"/>
    <col min="6" max="6" width="11.25" customWidth="1"/>
    <col min="7" max="7" width="13.75" customWidth="1"/>
    <col min="8" max="8" width="16.875" bestFit="1" customWidth="1"/>
    <col min="9" max="9" width="11.125" bestFit="1" customWidth="1"/>
    <col min="10" max="10" width="12.375" customWidth="1"/>
    <col min="11" max="11" width="11.25" customWidth="1"/>
    <col min="12" max="12" width="12" customWidth="1"/>
    <col min="13" max="13" width="11.875" customWidth="1"/>
    <col min="14" max="14" width="12.75" customWidth="1"/>
  </cols>
  <sheetData>
    <row r="1" spans="1:14" ht="20.25">
      <c r="A1" s="677" t="s">
        <v>16</v>
      </c>
      <c r="B1" s="393"/>
      <c r="C1" s="393"/>
      <c r="D1" s="393"/>
      <c r="E1" s="393"/>
      <c r="F1" s="393"/>
      <c r="G1" s="393"/>
      <c r="H1" s="393"/>
      <c r="I1" s="393"/>
      <c r="J1" s="393"/>
      <c r="K1" s="393"/>
      <c r="L1" s="393"/>
      <c r="M1" s="393"/>
      <c r="N1" s="678"/>
    </row>
    <row r="2" spans="1:14" ht="20.25">
      <c r="A2" s="299" t="str">
        <f>Licensee</f>
        <v>SPT</v>
      </c>
      <c r="B2" s="297"/>
      <c r="C2" s="297"/>
      <c r="D2" s="297"/>
      <c r="E2" s="297"/>
      <c r="F2" s="297"/>
      <c r="G2" s="297"/>
      <c r="H2" s="297"/>
      <c r="I2" s="297"/>
      <c r="J2" s="297"/>
      <c r="K2" s="297"/>
      <c r="L2" s="297"/>
      <c r="M2" s="297"/>
      <c r="N2" s="300"/>
    </row>
    <row r="3" spans="1:14" ht="20.25">
      <c r="A3" s="294">
        <f>Reporting_Year</f>
        <v>2022</v>
      </c>
      <c r="B3" s="553"/>
      <c r="C3" s="553"/>
      <c r="D3" s="553"/>
      <c r="E3" s="553"/>
      <c r="F3" s="553"/>
      <c r="G3" s="553"/>
      <c r="H3" s="553"/>
      <c r="I3" s="553"/>
      <c r="J3" s="553"/>
      <c r="K3" s="553"/>
      <c r="L3" s="553"/>
      <c r="M3" s="553"/>
      <c r="N3" s="301"/>
    </row>
    <row r="6" spans="1:14" ht="25.5">
      <c r="B6" s="539" t="s">
        <v>17</v>
      </c>
      <c r="C6" s="556">
        <f>INDEX(O55:U83,MATCH(Licensee,Data!B55:B83,0),MATCH(Reporting_Year,Data!O54:U54,0))</f>
        <v>4.2439449777777784E-2</v>
      </c>
      <c r="F6" s="524" t="s">
        <v>18</v>
      </c>
      <c r="G6" s="88"/>
      <c r="H6" s="509" t="s">
        <v>19</v>
      </c>
      <c r="I6" s="555" t="s">
        <v>20</v>
      </c>
    </row>
    <row r="7" spans="1:14">
      <c r="B7" s="539" t="s">
        <v>21</v>
      </c>
      <c r="C7" s="556">
        <f>SUMIF(Data!$B$54:$B$83,'RFPR cover'!C7,Data!$C$54:$C$83)</f>
        <v>0.51</v>
      </c>
      <c r="F7" s="557">
        <v>0.1</v>
      </c>
      <c r="G7" s="195"/>
      <c r="H7" s="509" t="s">
        <v>22</v>
      </c>
      <c r="I7" s="510" t="s">
        <v>23</v>
      </c>
    </row>
    <row r="8" spans="1:14">
      <c r="B8" s="539" t="s">
        <v>24</v>
      </c>
      <c r="C8" s="554">
        <f>SUMIF(Data!$B$54:$B$83,'RFPR cover'!C7,Data!$D$54:$D$83)</f>
        <v>0.55000000000000004</v>
      </c>
      <c r="H8" s="509" t="s">
        <v>25</v>
      </c>
      <c r="I8" s="510" t="s">
        <v>23</v>
      </c>
    </row>
    <row r="9" spans="1:14">
      <c r="B9" s="394" t="s">
        <v>26</v>
      </c>
      <c r="C9" s="543" t="str">
        <f>INDEX(Data!$F$55:$F$83,MATCH('RFPR cover'!$C$7,Data!$B$55:$B$83,0),0)</f>
        <v>£m 18/19</v>
      </c>
      <c r="H9" s="509" t="s">
        <v>27</v>
      </c>
      <c r="I9" s="510" t="s">
        <v>23</v>
      </c>
    </row>
    <row r="10" spans="1:14">
      <c r="H10" s="509" t="s">
        <v>28</v>
      </c>
      <c r="I10" s="510" t="s">
        <v>23</v>
      </c>
    </row>
    <row r="12" spans="1:14">
      <c r="B12" s="6" t="s">
        <v>29</v>
      </c>
    </row>
    <row r="13" spans="1:14">
      <c r="A13" s="17"/>
      <c r="B13" s="558" t="s">
        <v>30</v>
      </c>
      <c r="C13" s="559" t="str">
        <f t="shared" ref="C13:N13" si="0">IF(VALUE(C15)&lt;=Reporting_Year,"Actual","Forecast")</f>
        <v>Actual</v>
      </c>
      <c r="D13" s="559" t="str">
        <f t="shared" si="0"/>
        <v>Actual</v>
      </c>
      <c r="E13" s="559" t="str">
        <f t="shared" si="0"/>
        <v>Actual</v>
      </c>
      <c r="F13" s="559" t="str">
        <f t="shared" si="0"/>
        <v>Actual</v>
      </c>
      <c r="G13" s="559" t="str">
        <f t="shared" si="0"/>
        <v>Forecast</v>
      </c>
      <c r="H13" s="559" t="str">
        <f t="shared" si="0"/>
        <v>Forecast</v>
      </c>
      <c r="I13" s="559" t="str">
        <f t="shared" si="0"/>
        <v>Forecast</v>
      </c>
      <c r="J13" s="559" t="str">
        <f t="shared" si="0"/>
        <v>Forecast</v>
      </c>
      <c r="K13" s="559" t="str">
        <f t="shared" si="0"/>
        <v>Forecast</v>
      </c>
      <c r="L13" s="559" t="str">
        <f t="shared" si="0"/>
        <v>Forecast</v>
      </c>
      <c r="M13" s="559" t="str">
        <f t="shared" si="0"/>
        <v>Forecast</v>
      </c>
      <c r="N13" s="559" t="str">
        <f t="shared" si="0"/>
        <v>Forecast</v>
      </c>
    </row>
    <row r="14" spans="1:14">
      <c r="A14" s="17"/>
      <c r="B14" s="558" t="s">
        <v>31</v>
      </c>
      <c r="C14" s="560">
        <v>43555</v>
      </c>
      <c r="D14" s="561">
        <v>43921</v>
      </c>
      <c r="E14" s="561">
        <v>44286</v>
      </c>
      <c r="F14" s="561">
        <v>44651</v>
      </c>
      <c r="G14" s="561">
        <v>45016</v>
      </c>
      <c r="H14" s="560">
        <v>45382</v>
      </c>
      <c r="I14" s="560">
        <v>45747</v>
      </c>
      <c r="J14" s="560">
        <v>46112</v>
      </c>
      <c r="K14" s="560">
        <v>46477</v>
      </c>
      <c r="L14" s="560">
        <v>46843</v>
      </c>
      <c r="M14" s="560">
        <v>47208</v>
      </c>
      <c r="N14" s="560">
        <v>47573</v>
      </c>
    </row>
    <row r="15" spans="1:14">
      <c r="A15" s="17"/>
      <c r="B15" s="558" t="s">
        <v>32</v>
      </c>
      <c r="C15" s="562">
        <v>2019</v>
      </c>
      <c r="D15" s="563">
        <v>2020</v>
      </c>
      <c r="E15" s="562">
        <v>2021</v>
      </c>
      <c r="F15" s="563">
        <v>2022</v>
      </c>
      <c r="G15" s="562">
        <v>2023</v>
      </c>
      <c r="H15" s="563">
        <v>2024</v>
      </c>
      <c r="I15" s="562">
        <v>2025</v>
      </c>
      <c r="J15" s="563">
        <v>2026</v>
      </c>
      <c r="K15" s="562">
        <v>2027</v>
      </c>
      <c r="L15" s="563">
        <v>2028</v>
      </c>
      <c r="M15" s="562">
        <v>2029</v>
      </c>
      <c r="N15" s="563">
        <v>2030</v>
      </c>
    </row>
    <row r="16" spans="1:14">
      <c r="A16" s="17"/>
      <c r="B16" s="564" t="s">
        <v>33</v>
      </c>
      <c r="C16" s="611">
        <v>283.30833333333334</v>
      </c>
      <c r="D16" s="612">
        <v>290.64166666666665</v>
      </c>
      <c r="E16" s="612">
        <v>294.16666666666669</v>
      </c>
      <c r="F16" s="612">
        <v>307.32821397646848</v>
      </c>
      <c r="G16" s="612">
        <v>330.96395938982295</v>
      </c>
      <c r="H16" s="612">
        <v>341.96868856063776</v>
      </c>
      <c r="I16" s="612">
        <v>347.76302971972729</v>
      </c>
      <c r="J16" s="612">
        <v>354.40696896406115</v>
      </c>
      <c r="K16" s="612">
        <f t="shared" ref="K16:N17" si="1">J16*(1+K$20)</f>
        <v>361.49510834334239</v>
      </c>
      <c r="L16" s="612">
        <f t="shared" si="1"/>
        <v>368.72501051020924</v>
      </c>
      <c r="M16" s="612">
        <f t="shared" si="1"/>
        <v>376.09951072041343</v>
      </c>
      <c r="N16" s="612">
        <f t="shared" si="1"/>
        <v>383.62150093482171</v>
      </c>
    </row>
    <row r="17" spans="1:23">
      <c r="A17" s="17"/>
      <c r="B17" s="558" t="s">
        <v>34</v>
      </c>
      <c r="C17" s="611">
        <v>286.64999999999998</v>
      </c>
      <c r="D17" s="612">
        <v>292.60000000000002</v>
      </c>
      <c r="E17" s="612">
        <v>298.42363263445759</v>
      </c>
      <c r="F17" s="612">
        <v>319.91658048382931</v>
      </c>
      <c r="G17" s="612">
        <v>337.82117245956056</v>
      </c>
      <c r="H17" s="612">
        <v>344.75394696522062</v>
      </c>
      <c r="I17" s="612">
        <v>350.98716524424435</v>
      </c>
      <c r="J17" s="612">
        <v>357.9191002692707</v>
      </c>
      <c r="K17" s="612">
        <f t="shared" si="1"/>
        <v>365.07748227465612</v>
      </c>
      <c r="L17" s="612">
        <f t="shared" si="1"/>
        <v>372.37903192014926</v>
      </c>
      <c r="M17" s="612">
        <f t="shared" si="1"/>
        <v>379.82661255855226</v>
      </c>
      <c r="N17" s="612">
        <f t="shared" si="1"/>
        <v>387.42314480972328</v>
      </c>
    </row>
    <row r="18" spans="1:23">
      <c r="A18" s="17"/>
      <c r="B18" s="558" t="s">
        <v>35</v>
      </c>
      <c r="C18" s="449">
        <v>0.19</v>
      </c>
      <c r="D18" s="613">
        <v>0.19</v>
      </c>
      <c r="E18" s="613">
        <v>0.19</v>
      </c>
      <c r="F18" s="613">
        <v>0.19</v>
      </c>
      <c r="G18" s="613">
        <v>0.19</v>
      </c>
      <c r="H18" s="613">
        <v>0.25</v>
      </c>
      <c r="I18" s="613">
        <v>0.25</v>
      </c>
      <c r="J18" s="613">
        <v>0.25</v>
      </c>
      <c r="K18" s="613">
        <v>0.25</v>
      </c>
      <c r="L18" s="613">
        <v>0.25</v>
      </c>
      <c r="M18" s="613">
        <v>0.25</v>
      </c>
      <c r="N18" s="613">
        <v>0.25</v>
      </c>
    </row>
    <row r="19" spans="1:23">
      <c r="A19" s="17"/>
      <c r="B19" s="338" t="s">
        <v>36</v>
      </c>
      <c r="C19" s="614">
        <v>106.43333333333334</v>
      </c>
      <c r="D19" s="614">
        <v>108.24166666666663</v>
      </c>
      <c r="E19" s="614">
        <v>109.10833333333335</v>
      </c>
      <c r="F19" s="614">
        <v>113.11666666666667</v>
      </c>
      <c r="G19" s="614">
        <v>121.81615019519597</v>
      </c>
      <c r="H19" s="614">
        <v>125.86660252843778</v>
      </c>
      <c r="I19" s="614">
        <v>127.99929496485652</v>
      </c>
      <c r="J19" s="614">
        <v>130.44469446505488</v>
      </c>
      <c r="K19" s="614">
        <f>J19*(1+K$20)</f>
        <v>133.05358835435598</v>
      </c>
      <c r="L19" s="614">
        <f>K19*(1+L$20)</f>
        <v>135.7146601214431</v>
      </c>
      <c r="M19" s="614">
        <f>L19*(1+M$20)</f>
        <v>138.42895332387198</v>
      </c>
      <c r="N19" s="614">
        <f>M19*(1+N$20)</f>
        <v>141.19753239034941</v>
      </c>
      <c r="U19" s="330"/>
      <c r="V19" s="330"/>
    </row>
    <row r="20" spans="1:23" ht="15">
      <c r="A20" s="17"/>
      <c r="B20" s="558" t="s">
        <v>37</v>
      </c>
      <c r="C20" s="338"/>
      <c r="D20" s="338"/>
      <c r="E20" s="338"/>
      <c r="F20" s="338"/>
      <c r="G20" s="338"/>
      <c r="H20" s="339"/>
      <c r="I20" s="338"/>
      <c r="J20" s="338"/>
      <c r="K20" s="449">
        <v>0.02</v>
      </c>
      <c r="L20" s="449">
        <v>0.02</v>
      </c>
      <c r="M20" s="449">
        <v>0.02</v>
      </c>
      <c r="N20" s="449">
        <v>0.02</v>
      </c>
      <c r="O20" s="374"/>
      <c r="U20" s="330"/>
      <c r="V20" s="330"/>
    </row>
    <row r="21" spans="1:23" ht="15">
      <c r="A21" s="17"/>
      <c r="B21" s="335"/>
      <c r="C21" s="331"/>
      <c r="D21" s="331"/>
      <c r="E21" s="331"/>
      <c r="F21" s="331"/>
      <c r="G21" s="331"/>
      <c r="H21" s="331"/>
      <c r="U21" s="330"/>
      <c r="V21" s="330"/>
    </row>
    <row r="22" spans="1:23" ht="15">
      <c r="A22" s="17"/>
      <c r="B22" s="350"/>
      <c r="C22" s="351"/>
      <c r="D22" s="662"/>
      <c r="E22" s="351"/>
      <c r="F22" s="351"/>
      <c r="G22" s="351"/>
      <c r="U22" s="330"/>
      <c r="V22" s="330"/>
    </row>
    <row r="23" spans="1:23">
      <c r="B23" s="325"/>
      <c r="C23" s="520"/>
      <c r="D23" s="326"/>
      <c r="E23" s="327"/>
      <c r="F23" s="327"/>
      <c r="G23" s="328"/>
    </row>
    <row r="24" spans="1:23">
      <c r="D24" s="559" t="str">
        <f>IF(D25&lt;='RFPR cover'!$C$9,"Actuals","Forecast")</f>
        <v>Actuals</v>
      </c>
      <c r="E24" s="559" t="str">
        <f>IF(E25&lt;='RFPR cover'!$C$9,"Actuals","Forecast")</f>
        <v>Actuals</v>
      </c>
      <c r="F24" s="559" t="str">
        <f>IF(F25&lt;='RFPR cover'!$C$9,"Actuals","Forecast")</f>
        <v>Forecast</v>
      </c>
      <c r="G24" s="559" t="str">
        <f>IF(G25&lt;='RFPR cover'!$C$9,"Actuals","Forecast")</f>
        <v>Forecast</v>
      </c>
      <c r="H24" s="559" t="str">
        <f>IF(H25&lt;='RFPR cover'!$C$9,"Actuals","Forecast")</f>
        <v>Forecast</v>
      </c>
      <c r="I24" s="559" t="str">
        <f>IF(I25&lt;='RFPR cover'!$C$9,"Actuals","Forecast")</f>
        <v>Forecast</v>
      </c>
      <c r="J24" s="559" t="str">
        <f>IF(J25&lt;='RFPR cover'!$C$9,"Actuals","Forecast")</f>
        <v>Forecast</v>
      </c>
      <c r="K24" s="559" t="str">
        <f>IF(K25&lt;='RFPR cover'!$C$9,"Actuals","Forecast")</f>
        <v>Forecast</v>
      </c>
    </row>
    <row r="25" spans="1:23" ht="14.25" customHeight="1">
      <c r="D25" s="395">
        <v>2021</v>
      </c>
      <c r="E25" s="396">
        <f t="shared" ref="E25:K25" si="2">D25+1</f>
        <v>2022</v>
      </c>
      <c r="F25" s="396">
        <f t="shared" si="2"/>
        <v>2023</v>
      </c>
      <c r="G25" s="396">
        <f t="shared" si="2"/>
        <v>2024</v>
      </c>
      <c r="H25" s="396">
        <f t="shared" si="2"/>
        <v>2025</v>
      </c>
      <c r="I25" s="396">
        <f t="shared" si="2"/>
        <v>2026</v>
      </c>
      <c r="J25" s="396">
        <f t="shared" si="2"/>
        <v>2027</v>
      </c>
      <c r="K25" s="396">
        <f t="shared" si="2"/>
        <v>2028</v>
      </c>
      <c r="M25" s="27"/>
    </row>
    <row r="26" spans="1:23" ht="48.6" customHeight="1">
      <c r="C26" s="565" t="s">
        <v>38</v>
      </c>
      <c r="D26" s="434">
        <f t="shared" ref="D26:K26" si="3">IF(SectorCov="ED2",G16/INDEX($C$16:$N$16,MATCH($E$15,$C$15:$N$15,0)),E16/INDEX($C$16:$N$16,MATCH($C$15,$C$15:$N$15,0)))</f>
        <v>1.0383269111980469</v>
      </c>
      <c r="E26" s="434">
        <f t="shared" si="3"/>
        <v>1.0847835302284383</v>
      </c>
      <c r="F26" s="434">
        <f>IF(SectorCov="ED2",I16/INDEX($C$16:$N$16,MATCH($E$15,$C$15:$N$15,0)),G16/INDEX($C$16:$N$16,MATCH($C$15,$C$15:$N$15,0)))</f>
        <v>1.1682111694202062</v>
      </c>
      <c r="G26" s="434">
        <f t="shared" si="3"/>
        <v>1.2070548174037865</v>
      </c>
      <c r="H26" s="434">
        <f t="shared" si="3"/>
        <v>1.2275072378847331</v>
      </c>
      <c r="I26" s="434">
        <f t="shared" si="3"/>
        <v>1.2509585044470788</v>
      </c>
      <c r="J26" s="434">
        <f t="shared" si="3"/>
        <v>1.2759776745360205</v>
      </c>
      <c r="K26" s="434">
        <f t="shared" si="3"/>
        <v>1.3014972280267409</v>
      </c>
      <c r="M26" s="355"/>
      <c r="N26" s="355"/>
      <c r="O26" s="355"/>
      <c r="P26" s="355"/>
      <c r="Q26" s="355"/>
      <c r="R26" s="355"/>
    </row>
    <row r="27" spans="1:23" ht="58.5" customHeight="1">
      <c r="C27" s="382" t="s">
        <v>39</v>
      </c>
      <c r="D27" s="434">
        <f>INDEX(Data!$C$16:$N$16,MATCH(D$25,Data!$C$15:$N$15,0))/INDEX(Data!$C$16:$N$16,MATCH(D$25-1,Data!$C$15:$N$15,0))</f>
        <v>1.0121283367262093</v>
      </c>
      <c r="E27" s="434">
        <f>INDEX(Data!$C$16:$N$16,MATCH(E$25,Data!$C$15:$N$15,0))/INDEX(Data!$C$16:$N$16,MATCH(E$25-1,Data!$C$15:$N$15,0))</f>
        <v>1.0447418038860117</v>
      </c>
      <c r="F27" s="434">
        <f>INDEX(Data!$C$16:$N$16,MATCH(F$25,Data!$C$15:$N$15,0))/INDEX(Data!$C$16:$N$16,MATCH(F$25-1,Data!$C$15:$N$15,0))</f>
        <v>1.0769071772081564</v>
      </c>
      <c r="G27" s="434">
        <f>INDEX(Data!$C$16:$N$16,MATCH(G$25,Data!$C$15:$N$15,0))/INDEX(Data!$C$16:$N$16,MATCH(G$25-1,Data!$C$15:$N$15,0))</f>
        <v>1.033250536375935</v>
      </c>
      <c r="H27" s="434">
        <f>INDEX(Data!$C$16:$N$16,MATCH(H$25,Data!$C$15:$N$15,0))/INDEX(Data!$C$16:$N$16,MATCH(H$25-1,Data!$C$15:$N$15,0))</f>
        <v>1.0169440693049361</v>
      </c>
      <c r="I27" s="434">
        <f>INDEX(Data!$C$16:$N$16,MATCH(I$25,Data!$C$15:$N$15,0))/INDEX(Data!$C$16:$N$16,MATCH(I$25-1,Data!$C$15:$N$15,0))</f>
        <v>1.0191047888261395</v>
      </c>
      <c r="J27" s="434">
        <f>INDEX(Data!$C$16:$N$16,MATCH(J$25,Data!$C$15:$N$15,0))/INDEX(Data!$C$16:$N$16,MATCH(J$25-1,Data!$C$15:$N$15,0))</f>
        <v>1.02</v>
      </c>
      <c r="K27" s="434">
        <f>INDEX(Data!$C$16:$N$16,MATCH(K$25,Data!$C$15:$N$15,0))/INDEX(Data!$C$16:$N$16,MATCH(K$25-1,Data!$C$15:$N$15,0))</f>
        <v>1.02</v>
      </c>
      <c r="M27" s="355"/>
    </row>
    <row r="28" spans="1:23" ht="71.099999999999994" customHeight="1">
      <c r="C28" s="382" t="s">
        <v>40</v>
      </c>
      <c r="D28" s="434">
        <f>IF(SectorCov="ED2",INDEX(Data!$C$17:$N$17,MATCH(D$25,Data!$C$15:$N$15,0))/Data!$E$16,INDEX(Data!$C$17:$N$17,MATCH(D$25,Data!$C$15:$N$15,0))/Data!$C$16)</f>
        <v>1.0533528227824487</v>
      </c>
      <c r="E28" s="434">
        <f>IF(SectorCov="ED2",INDEX(Data!$C$17:$N$17,MATCH(E$25,Data!$C$15:$N$15,0))/Data!$E$16,INDEX(Data!$C$17:$N$17,MATCH(E$25,Data!$C$15:$N$15,0))/Data!$C$16)</f>
        <v>1.1292169796764278</v>
      </c>
      <c r="F28" s="434">
        <f>IF(SectorCov="ED2",INDEX(Data!$C$17:$N$17,MATCH(F$25,Data!$C$15:$N$15,0))/Data!$E$16,INDEX(Data!$C$17:$N$17,MATCH(F$25,Data!$C$15:$N$15,0))/Data!$C$16)</f>
        <v>1.192415233554351</v>
      </c>
      <c r="G28" s="434">
        <f>IF(SectorCov="ED2",INDEX(Data!$C$17:$N$17,MATCH(G$25,Data!$C$15:$N$15,0))/Data!$E$16,INDEX(Data!$C$17:$N$17,MATCH(G$25,Data!$C$15:$N$15,0))/Data!$C$16)</f>
        <v>1.2168860086427178</v>
      </c>
      <c r="H28" s="434">
        <f>IF(SectorCov="ED2",INDEX(Data!$C$17:$N$17,MATCH(H$25,Data!$C$15:$N$15,0))/Data!$E$16,INDEX(Data!$C$17:$N$17,MATCH(H$25,Data!$C$15:$N$15,0))/Data!$C$16)</f>
        <v>1.2388875438806166</v>
      </c>
      <c r="I28" s="434">
        <f>IF(SectorCov="ED2",INDEX(Data!$C$17:$N$17,MATCH(I$25,Data!$C$15:$N$15,0))/Data!$E$16,INDEX(Data!$C$17:$N$17,MATCH(I$25,Data!$C$15:$N$15,0))/Data!$C$16)</f>
        <v>1.2633553558347055</v>
      </c>
      <c r="J28" s="434">
        <f>IF(SectorCov="ED2",INDEX(Data!$C$17:$N$17,MATCH(J$25,Data!$C$15:$N$15,0))/Data!$E$16,INDEX(Data!$C$17:$N$17,MATCH(J$25,Data!$C$15:$N$15,0))/Data!$C$16)</f>
        <v>1.2886224629513996</v>
      </c>
      <c r="K28" s="434">
        <f>IF(SectorCov="ED2",INDEX(Data!$C$17:$N$17,MATCH(K$25,Data!$C$15:$N$15,0))/Data!$E$16,INDEX(Data!$C$17:$N$17,MATCH(K$25,Data!$C$15:$N$15,0))/Data!$C$16)</f>
        <v>1.3143949122104277</v>
      </c>
      <c r="M28" s="355"/>
    </row>
    <row r="29" spans="1:23">
      <c r="A29" s="336"/>
      <c r="B29" s="336"/>
      <c r="C29" s="336"/>
      <c r="M29" s="355"/>
      <c r="N29" s="336"/>
      <c r="O29" s="336"/>
      <c r="P29" s="336"/>
      <c r="Q29" s="336"/>
      <c r="R29" s="336"/>
      <c r="S29" s="336"/>
      <c r="T29" s="336"/>
      <c r="U29" s="336"/>
      <c r="V29" s="336"/>
      <c r="W29" s="336"/>
    </row>
    <row r="30" spans="1:23">
      <c r="B30" s="274"/>
      <c r="C30" s="329"/>
      <c r="D30" s="329"/>
      <c r="E30" s="329"/>
      <c r="F30" s="329"/>
      <c r="G30" s="329"/>
      <c r="H30" s="329"/>
      <c r="I30" s="329"/>
      <c r="J30" s="329"/>
      <c r="K30" s="329"/>
      <c r="M30" s="355"/>
    </row>
    <row r="31" spans="1:23">
      <c r="E31" s="373"/>
      <c r="F31" s="373"/>
      <c r="G31" s="373"/>
      <c r="H31" s="373"/>
      <c r="I31" s="373"/>
      <c r="J31" s="373"/>
      <c r="K31" s="373"/>
      <c r="L31" s="373"/>
      <c r="M31" s="355"/>
    </row>
    <row r="32" spans="1:23">
      <c r="B32" s="274"/>
      <c r="C32" s="329"/>
      <c r="D32" s="329"/>
      <c r="E32" s="329"/>
      <c r="F32" s="329"/>
      <c r="G32" s="329"/>
      <c r="H32" s="329"/>
      <c r="I32" s="329"/>
      <c r="J32" s="329"/>
    </row>
    <row r="33" spans="1:20">
      <c r="B33" s="163"/>
      <c r="C33" s="163"/>
      <c r="D33" s="98"/>
      <c r="E33" s="163"/>
      <c r="F33" s="164"/>
      <c r="G33" s="165"/>
      <c r="H33" s="165"/>
      <c r="I33" s="165"/>
      <c r="J33" s="166"/>
      <c r="K33" s="166"/>
      <c r="L33" s="98"/>
      <c r="M33" s="98"/>
      <c r="N33" s="98"/>
      <c r="O33" s="98"/>
      <c r="P33" s="98"/>
      <c r="Q33" s="98"/>
      <c r="R33" s="98"/>
      <c r="S33" s="98"/>
      <c r="T33" s="98"/>
    </row>
    <row r="34" spans="1:20">
      <c r="B34" s="162" t="s">
        <v>41</v>
      </c>
      <c r="C34" s="88"/>
      <c r="I34" s="39"/>
    </row>
    <row r="35" spans="1:20">
      <c r="C35" s="395">
        <f>RIIO_2_start_date</f>
        <v>2022</v>
      </c>
      <c r="D35" s="396">
        <f t="shared" ref="D35" si="4">C35+1</f>
        <v>2023</v>
      </c>
      <c r="E35" s="396">
        <f t="shared" ref="E35" si="5">D35+1</f>
        <v>2024</v>
      </c>
      <c r="F35" s="396">
        <f t="shared" ref="F35" si="6">E35+1</f>
        <v>2025</v>
      </c>
      <c r="G35" s="396">
        <f t="shared" ref="G35" si="7">F35+1</f>
        <v>2026</v>
      </c>
      <c r="H35" s="396">
        <f t="shared" ref="H35" si="8">G35+1</f>
        <v>2027</v>
      </c>
      <c r="I35" s="396">
        <f t="shared" ref="I35" si="9">H35+1</f>
        <v>2028</v>
      </c>
      <c r="J35" s="396">
        <f t="shared" ref="J35" si="10">I35+1</f>
        <v>2029</v>
      </c>
    </row>
    <row r="36" spans="1:20">
      <c r="B36" s="392" t="s">
        <v>42</v>
      </c>
      <c r="C36" s="383"/>
      <c r="D36" s="384"/>
      <c r="E36" s="361"/>
      <c r="F36" s="361"/>
      <c r="G36" s="361"/>
      <c r="H36" s="361"/>
      <c r="I36" s="362"/>
    </row>
    <row r="37" spans="1:20">
      <c r="A37" s="348"/>
      <c r="B37" s="386" t="s">
        <v>43</v>
      </c>
      <c r="C37" s="385"/>
      <c r="D37" s="196"/>
      <c r="E37" s="363"/>
      <c r="F37" s="363"/>
      <c r="G37" s="363"/>
      <c r="H37" s="363"/>
      <c r="I37" s="161"/>
    </row>
    <row r="38" spans="1:20">
      <c r="A38" s="348"/>
      <c r="B38" s="386" t="s">
        <v>44</v>
      </c>
      <c r="C38" s="386">
        <v>1.8143044979056552E-2</v>
      </c>
      <c r="D38" s="363">
        <v>1.5909426602326575E-2</v>
      </c>
      <c r="E38" s="363">
        <v>1.5486013713550701E-2</v>
      </c>
      <c r="F38" s="363">
        <v>1.4921786215027617E-2</v>
      </c>
      <c r="G38" s="363">
        <v>1.4560675534238218E-2</v>
      </c>
      <c r="H38" s="196"/>
      <c r="I38" s="387"/>
    </row>
    <row r="39" spans="1:20">
      <c r="A39" s="349"/>
      <c r="B39" s="386" t="s">
        <v>45</v>
      </c>
      <c r="C39" s="386">
        <v>2.0500000000000001E-2</v>
      </c>
      <c r="D39" s="363">
        <v>1.9E-2</v>
      </c>
      <c r="E39" s="363">
        <v>1.83E-2</v>
      </c>
      <c r="F39" s="363">
        <v>1.78E-2</v>
      </c>
      <c r="G39" s="363">
        <v>1.7500000000000002E-2</v>
      </c>
      <c r="H39" s="196"/>
      <c r="I39" s="387"/>
      <c r="N39" s="311"/>
      <c r="O39" s="311"/>
      <c r="P39" s="311"/>
      <c r="Q39" s="311"/>
      <c r="R39" s="311"/>
    </row>
    <row r="40" spans="1:20">
      <c r="A40" s="348"/>
      <c r="B40" s="386" t="s">
        <v>25</v>
      </c>
      <c r="C40" s="386">
        <v>2.0500000000000001E-2</v>
      </c>
      <c r="D40" s="363">
        <v>1.9E-2</v>
      </c>
      <c r="E40" s="363">
        <v>1.83E-2</v>
      </c>
      <c r="F40" s="363">
        <v>1.78E-2</v>
      </c>
      <c r="G40" s="363">
        <v>1.7500000000000002E-2</v>
      </c>
      <c r="H40" s="196"/>
      <c r="I40" s="387"/>
    </row>
    <row r="41" spans="1:20">
      <c r="A41" s="348"/>
      <c r="B41" s="386" t="s">
        <v>46</v>
      </c>
      <c r="C41" s="386">
        <v>2.1100000000000001E-2</v>
      </c>
      <c r="D41" s="363">
        <v>1.9599999999999999E-2</v>
      </c>
      <c r="E41" s="363">
        <v>1.89E-2</v>
      </c>
      <c r="F41" s="363">
        <v>1.84E-2</v>
      </c>
      <c r="G41" s="363">
        <v>1.8100000000000002E-2</v>
      </c>
      <c r="H41" s="196"/>
      <c r="I41" s="387"/>
    </row>
    <row r="42" spans="1:20">
      <c r="A42" s="348"/>
      <c r="B42" s="386" t="s">
        <v>27</v>
      </c>
      <c r="C42" s="386">
        <v>2.0500000000000001E-2</v>
      </c>
      <c r="D42" s="363">
        <v>1.9E-2</v>
      </c>
      <c r="E42" s="363">
        <v>1.83E-2</v>
      </c>
      <c r="F42" s="363">
        <v>1.78E-2</v>
      </c>
      <c r="G42" s="363">
        <v>1.7500000000000002E-2</v>
      </c>
      <c r="H42" s="196"/>
      <c r="I42" s="387"/>
    </row>
    <row r="43" spans="1:20">
      <c r="A43" s="348"/>
      <c r="B43" s="388" t="s">
        <v>28</v>
      </c>
      <c r="C43" s="388">
        <v>-1E-4</v>
      </c>
      <c r="D43" s="389">
        <v>9.2999999999999992E-3</v>
      </c>
      <c r="E43" s="389">
        <v>1.06E-2</v>
      </c>
      <c r="F43" s="389">
        <v>9.1999999999999998E-3</v>
      </c>
      <c r="G43" s="389">
        <v>7.7999999999999996E-3</v>
      </c>
      <c r="H43" s="390"/>
      <c r="I43" s="391"/>
    </row>
    <row r="44" spans="1:20">
      <c r="H44" s="39"/>
    </row>
    <row r="45" spans="1:20">
      <c r="B45" s="162" t="s">
        <v>47</v>
      </c>
      <c r="C45" s="88"/>
      <c r="I45" s="39"/>
    </row>
    <row r="46" spans="1:20">
      <c r="A46" s="33" t="s">
        <v>6</v>
      </c>
      <c r="C46" s="395">
        <f>RIIO_2_start_date</f>
        <v>2022</v>
      </c>
      <c r="D46" s="396">
        <f t="shared" ref="D46:J46" si="11">C46+1</f>
        <v>2023</v>
      </c>
      <c r="E46" s="396">
        <f t="shared" si="11"/>
        <v>2024</v>
      </c>
      <c r="F46" s="396">
        <f t="shared" si="11"/>
        <v>2025</v>
      </c>
      <c r="G46" s="396">
        <f t="shared" si="11"/>
        <v>2026</v>
      </c>
      <c r="H46" s="396">
        <f t="shared" si="11"/>
        <v>2027</v>
      </c>
      <c r="I46" s="396">
        <f t="shared" si="11"/>
        <v>2028</v>
      </c>
      <c r="J46" s="396">
        <f t="shared" si="11"/>
        <v>2029</v>
      </c>
    </row>
    <row r="47" spans="1:20">
      <c r="A47" s="33" t="s">
        <v>48</v>
      </c>
      <c r="B47" s="386" t="s">
        <v>19</v>
      </c>
      <c r="C47" s="385"/>
      <c r="D47" s="196"/>
      <c r="E47" s="363"/>
      <c r="F47" s="363"/>
      <c r="G47" s="363"/>
      <c r="H47" s="363"/>
      <c r="I47" s="161"/>
    </row>
    <row r="48" spans="1:20">
      <c r="A48" s="33" t="s">
        <v>49</v>
      </c>
      <c r="B48" s="386" t="s">
        <v>22</v>
      </c>
      <c r="C48" s="386">
        <v>4.2439449777777784E-2</v>
      </c>
      <c r="D48" s="363">
        <v>4.2616093333333334E-2</v>
      </c>
      <c r="E48" s="363">
        <v>4.2388117333333329E-2</v>
      </c>
      <c r="F48" s="363">
        <v>4.2547130666666676E-2</v>
      </c>
      <c r="G48" s="363">
        <v>4.2685452444444452E-2</v>
      </c>
      <c r="H48" s="196"/>
      <c r="I48" s="387"/>
      <c r="N48" s="311"/>
      <c r="O48" s="311"/>
      <c r="P48" s="311"/>
      <c r="Q48" s="311"/>
      <c r="R48" s="311"/>
    </row>
    <row r="49" spans="1:23">
      <c r="A49" s="33" t="s">
        <v>50</v>
      </c>
      <c r="B49" s="386" t="s">
        <v>25</v>
      </c>
      <c r="C49" s="386">
        <v>4.5181881000000007E-2</v>
      </c>
      <c r="D49" s="363">
        <v>4.5568105000000005E-2</v>
      </c>
      <c r="E49" s="363">
        <v>4.5399131999999995E-2</v>
      </c>
      <c r="F49" s="363">
        <v>4.564052200000001E-2</v>
      </c>
      <c r="G49" s="363">
        <v>4.5833633999999998E-2</v>
      </c>
      <c r="H49" s="196"/>
      <c r="I49" s="387"/>
    </row>
    <row r="50" spans="1:23">
      <c r="A50" s="33" t="s">
        <v>51</v>
      </c>
      <c r="B50" s="386" t="s">
        <v>27</v>
      </c>
      <c r="C50" s="615">
        <v>4.5181881000000007E-2</v>
      </c>
      <c r="D50" s="616">
        <v>4.5568105000000005E-2</v>
      </c>
      <c r="E50" s="616">
        <v>4.5399131999999995E-2</v>
      </c>
      <c r="F50" s="616">
        <v>4.564052200000001E-2</v>
      </c>
      <c r="G50" s="616">
        <v>4.5833633999999998E-2</v>
      </c>
      <c r="H50" s="196"/>
      <c r="I50" s="387"/>
    </row>
    <row r="51" spans="1:23">
      <c r="A51" s="33" t="s">
        <v>52</v>
      </c>
      <c r="B51" s="388" t="s">
        <v>28</v>
      </c>
      <c r="C51" s="617">
        <v>7.5718976000000007E-2</v>
      </c>
      <c r="D51" s="617">
        <v>7.5510080000000007E-2</v>
      </c>
      <c r="E51" s="617">
        <v>7.5601472000000003E-2</v>
      </c>
      <c r="F51" s="617">
        <v>7.5470912000000001E-2</v>
      </c>
      <c r="G51" s="617">
        <v>7.5366464000000008E-2</v>
      </c>
      <c r="H51" s="473"/>
      <c r="I51" s="391"/>
    </row>
    <row r="52" spans="1:23" ht="13.5" thickBot="1">
      <c r="A52" s="348"/>
      <c r="B52" s="471"/>
      <c r="C52" s="471"/>
      <c r="D52" s="471"/>
      <c r="E52" s="471"/>
      <c r="F52" s="471"/>
      <c r="G52" s="471"/>
      <c r="H52" s="472"/>
      <c r="I52" s="472"/>
    </row>
    <row r="53" spans="1:23" s="336" customFormat="1" ht="39" thickBot="1">
      <c r="A53"/>
      <c r="B53" s="11"/>
      <c r="C53" s="507" t="s">
        <v>53</v>
      </c>
      <c r="D53" s="507" t="s">
        <v>54</v>
      </c>
      <c r="E53" s="507" t="s">
        <v>55</v>
      </c>
      <c r="F53" s="507" t="s">
        <v>56</v>
      </c>
      <c r="G53" s="508" t="s">
        <v>57</v>
      </c>
      <c r="H53" s="718" t="s">
        <v>58</v>
      </c>
      <c r="I53" s="719"/>
      <c r="J53" s="719"/>
      <c r="K53" s="719"/>
      <c r="L53" s="719"/>
      <c r="M53" s="719"/>
      <c r="N53" s="720"/>
      <c r="O53" s="718" t="s">
        <v>59</v>
      </c>
      <c r="P53" s="719"/>
      <c r="Q53" s="719"/>
      <c r="R53" s="719"/>
      <c r="S53" s="719"/>
      <c r="T53" s="719"/>
      <c r="U53" s="720"/>
      <c r="V53"/>
      <c r="W53"/>
    </row>
    <row r="54" spans="1:23" ht="13.5" thickBot="1">
      <c r="A54" s="131" t="s">
        <v>6</v>
      </c>
      <c r="B54" s="502" t="s">
        <v>60</v>
      </c>
      <c r="C54" s="503"/>
      <c r="D54" s="503"/>
      <c r="E54" s="504"/>
      <c r="F54" s="505"/>
      <c r="G54" s="506"/>
      <c r="H54" s="483">
        <v>2022</v>
      </c>
      <c r="I54" s="484">
        <f t="shared" ref="I54:N54" si="12">H54+1</f>
        <v>2023</v>
      </c>
      <c r="J54" s="484">
        <f t="shared" si="12"/>
        <v>2024</v>
      </c>
      <c r="K54" s="485">
        <f t="shared" si="12"/>
        <v>2025</v>
      </c>
      <c r="L54" s="485">
        <f t="shared" si="12"/>
        <v>2026</v>
      </c>
      <c r="M54" s="485">
        <f t="shared" si="12"/>
        <v>2027</v>
      </c>
      <c r="N54" s="486">
        <f t="shared" si="12"/>
        <v>2028</v>
      </c>
      <c r="O54" s="483">
        <v>2022</v>
      </c>
      <c r="P54" s="484">
        <f t="shared" ref="P54:U54" si="13">O54+1</f>
        <v>2023</v>
      </c>
      <c r="Q54" s="484">
        <f t="shared" si="13"/>
        <v>2024</v>
      </c>
      <c r="R54" s="485">
        <f t="shared" si="13"/>
        <v>2025</v>
      </c>
      <c r="S54" s="485">
        <f t="shared" si="13"/>
        <v>2026</v>
      </c>
      <c r="T54" s="485">
        <f t="shared" si="13"/>
        <v>2027</v>
      </c>
      <c r="U54" s="486">
        <f t="shared" si="13"/>
        <v>2028</v>
      </c>
    </row>
    <row r="55" spans="1:23">
      <c r="A55" s="33" t="s">
        <v>19</v>
      </c>
      <c r="B55" s="492" t="s">
        <v>61</v>
      </c>
      <c r="C55" s="489"/>
      <c r="D55" s="489"/>
      <c r="E55" s="493">
        <v>2024</v>
      </c>
      <c r="F55" s="494" t="str">
        <f t="shared" ref="F55:F83" si="14">VLOOKUP($A55,$H$6:$I$10,2,FALSE)</f>
        <v>£m 20/21</v>
      </c>
      <c r="G55" s="495" t="s">
        <v>43</v>
      </c>
      <c r="H55" s="487"/>
      <c r="I55" s="488"/>
      <c r="J55" s="489">
        <f t="shared" ref="J55:N68" si="15">INDEX($C$36:$I$43,MATCH($G55,$B$36:$B$43,0),MATCH(J$54,$C$35:$I$35))</f>
        <v>0</v>
      </c>
      <c r="K55" s="489">
        <f t="shared" si="15"/>
        <v>0</v>
      </c>
      <c r="L55" s="489">
        <f t="shared" si="15"/>
        <v>0</v>
      </c>
      <c r="M55" s="490">
        <f t="shared" si="15"/>
        <v>0</v>
      </c>
      <c r="N55" s="491">
        <f t="shared" si="15"/>
        <v>0</v>
      </c>
      <c r="O55" s="474"/>
      <c r="P55" s="384"/>
      <c r="Q55" s="361">
        <f t="shared" ref="Q55:U68" si="16">INDEX($C$47:$I$51,MATCH($A55,$B$47:$B$51,0),MATCH(Q$54,$C$46:$I$46))</f>
        <v>0</v>
      </c>
      <c r="R55" s="361">
        <f t="shared" si="16"/>
        <v>0</v>
      </c>
      <c r="S55" s="361">
        <f t="shared" si="16"/>
        <v>0</v>
      </c>
      <c r="T55" s="418">
        <f t="shared" si="16"/>
        <v>0</v>
      </c>
      <c r="U55" s="475">
        <f t="shared" si="16"/>
        <v>0</v>
      </c>
    </row>
    <row r="56" spans="1:23">
      <c r="A56" s="33" t="s">
        <v>19</v>
      </c>
      <c r="B56" s="496" t="s">
        <v>62</v>
      </c>
      <c r="C56" s="363"/>
      <c r="D56" s="363"/>
      <c r="E56" s="137">
        <v>2024</v>
      </c>
      <c r="F56" s="138" t="str">
        <f t="shared" si="14"/>
        <v>£m 20/21</v>
      </c>
      <c r="G56" s="497" t="s">
        <v>43</v>
      </c>
      <c r="H56" s="476"/>
      <c r="I56" s="196"/>
      <c r="J56" s="363">
        <f t="shared" si="15"/>
        <v>0</v>
      </c>
      <c r="K56" s="363">
        <f t="shared" si="15"/>
        <v>0</v>
      </c>
      <c r="L56" s="363">
        <f t="shared" si="15"/>
        <v>0</v>
      </c>
      <c r="M56" s="418">
        <f t="shared" si="15"/>
        <v>0</v>
      </c>
      <c r="N56" s="475">
        <f t="shared" si="15"/>
        <v>0</v>
      </c>
      <c r="O56" s="476"/>
      <c r="P56" s="196"/>
      <c r="Q56" s="363">
        <f t="shared" si="16"/>
        <v>0</v>
      </c>
      <c r="R56" s="363">
        <f t="shared" si="16"/>
        <v>0</v>
      </c>
      <c r="S56" s="363">
        <f t="shared" si="16"/>
        <v>0</v>
      </c>
      <c r="T56" s="418">
        <f t="shared" si="16"/>
        <v>0</v>
      </c>
      <c r="U56" s="475">
        <f t="shared" si="16"/>
        <v>0</v>
      </c>
    </row>
    <row r="57" spans="1:23">
      <c r="A57" s="33" t="s">
        <v>19</v>
      </c>
      <c r="B57" s="496" t="s">
        <v>63</v>
      </c>
      <c r="C57" s="363"/>
      <c r="D57" s="363"/>
      <c r="E57" s="137">
        <v>2024</v>
      </c>
      <c r="F57" s="138" t="str">
        <f t="shared" si="14"/>
        <v>£m 20/21</v>
      </c>
      <c r="G57" s="497" t="s">
        <v>43</v>
      </c>
      <c r="H57" s="476"/>
      <c r="I57" s="196"/>
      <c r="J57" s="363">
        <f t="shared" si="15"/>
        <v>0</v>
      </c>
      <c r="K57" s="363">
        <f t="shared" si="15"/>
        <v>0</v>
      </c>
      <c r="L57" s="363">
        <f t="shared" si="15"/>
        <v>0</v>
      </c>
      <c r="M57" s="418">
        <f t="shared" si="15"/>
        <v>0</v>
      </c>
      <c r="N57" s="475">
        <f t="shared" si="15"/>
        <v>0</v>
      </c>
      <c r="O57" s="476"/>
      <c r="P57" s="196"/>
      <c r="Q57" s="363">
        <f t="shared" si="16"/>
        <v>0</v>
      </c>
      <c r="R57" s="363">
        <f t="shared" si="16"/>
        <v>0</v>
      </c>
      <c r="S57" s="363">
        <f t="shared" si="16"/>
        <v>0</v>
      </c>
      <c r="T57" s="418">
        <f t="shared" si="16"/>
        <v>0</v>
      </c>
      <c r="U57" s="475">
        <f t="shared" si="16"/>
        <v>0</v>
      </c>
    </row>
    <row r="58" spans="1:23">
      <c r="A58" s="33" t="s">
        <v>19</v>
      </c>
      <c r="B58" s="496" t="s">
        <v>64</v>
      </c>
      <c r="C58" s="363"/>
      <c r="D58" s="363"/>
      <c r="E58" s="137">
        <v>2024</v>
      </c>
      <c r="F58" s="138" t="str">
        <f t="shared" si="14"/>
        <v>£m 20/21</v>
      </c>
      <c r="G58" s="497" t="s">
        <v>43</v>
      </c>
      <c r="H58" s="476"/>
      <c r="I58" s="196"/>
      <c r="J58" s="363">
        <f t="shared" si="15"/>
        <v>0</v>
      </c>
      <c r="K58" s="363">
        <f t="shared" si="15"/>
        <v>0</v>
      </c>
      <c r="L58" s="363">
        <f t="shared" si="15"/>
        <v>0</v>
      </c>
      <c r="M58" s="418">
        <f t="shared" si="15"/>
        <v>0</v>
      </c>
      <c r="N58" s="475">
        <f t="shared" si="15"/>
        <v>0</v>
      </c>
      <c r="O58" s="476"/>
      <c r="P58" s="196"/>
      <c r="Q58" s="363">
        <f t="shared" si="16"/>
        <v>0</v>
      </c>
      <c r="R58" s="363">
        <f t="shared" si="16"/>
        <v>0</v>
      </c>
      <c r="S58" s="363">
        <f t="shared" si="16"/>
        <v>0</v>
      </c>
      <c r="T58" s="418">
        <f t="shared" si="16"/>
        <v>0</v>
      </c>
      <c r="U58" s="475">
        <f t="shared" si="16"/>
        <v>0</v>
      </c>
    </row>
    <row r="59" spans="1:23">
      <c r="A59" s="33" t="s">
        <v>19</v>
      </c>
      <c r="B59" s="496" t="s">
        <v>65</v>
      </c>
      <c r="C59" s="363"/>
      <c r="D59" s="363"/>
      <c r="E59" s="137">
        <v>2024</v>
      </c>
      <c r="F59" s="138" t="str">
        <f t="shared" si="14"/>
        <v>£m 20/21</v>
      </c>
      <c r="G59" s="497" t="s">
        <v>43</v>
      </c>
      <c r="H59" s="476"/>
      <c r="I59" s="196"/>
      <c r="J59" s="363">
        <f t="shared" si="15"/>
        <v>0</v>
      </c>
      <c r="K59" s="363">
        <f t="shared" si="15"/>
        <v>0</v>
      </c>
      <c r="L59" s="363">
        <f t="shared" si="15"/>
        <v>0</v>
      </c>
      <c r="M59" s="418">
        <f t="shared" si="15"/>
        <v>0</v>
      </c>
      <c r="N59" s="475">
        <f t="shared" si="15"/>
        <v>0</v>
      </c>
      <c r="O59" s="476"/>
      <c r="P59" s="196"/>
      <c r="Q59" s="363">
        <f t="shared" si="16"/>
        <v>0</v>
      </c>
      <c r="R59" s="363">
        <f t="shared" si="16"/>
        <v>0</v>
      </c>
      <c r="S59" s="363">
        <f t="shared" si="16"/>
        <v>0</v>
      </c>
      <c r="T59" s="418">
        <f t="shared" si="16"/>
        <v>0</v>
      </c>
      <c r="U59" s="475">
        <f t="shared" si="16"/>
        <v>0</v>
      </c>
    </row>
    <row r="60" spans="1:23">
      <c r="A60" s="33" t="s">
        <v>19</v>
      </c>
      <c r="B60" s="496" t="s">
        <v>66</v>
      </c>
      <c r="C60" s="363"/>
      <c r="D60" s="363"/>
      <c r="E60" s="137">
        <v>2024</v>
      </c>
      <c r="F60" s="138" t="str">
        <f t="shared" si="14"/>
        <v>£m 20/21</v>
      </c>
      <c r="G60" s="497" t="s">
        <v>43</v>
      </c>
      <c r="H60" s="476"/>
      <c r="I60" s="196"/>
      <c r="J60" s="363">
        <f t="shared" si="15"/>
        <v>0</v>
      </c>
      <c r="K60" s="363">
        <f t="shared" si="15"/>
        <v>0</v>
      </c>
      <c r="L60" s="363">
        <f t="shared" si="15"/>
        <v>0</v>
      </c>
      <c r="M60" s="418">
        <f t="shared" si="15"/>
        <v>0</v>
      </c>
      <c r="N60" s="475">
        <f t="shared" si="15"/>
        <v>0</v>
      </c>
      <c r="O60" s="476"/>
      <c r="P60" s="196"/>
      <c r="Q60" s="363">
        <f t="shared" si="16"/>
        <v>0</v>
      </c>
      <c r="R60" s="363">
        <f t="shared" si="16"/>
        <v>0</v>
      </c>
      <c r="S60" s="363">
        <f t="shared" si="16"/>
        <v>0</v>
      </c>
      <c r="T60" s="418">
        <f t="shared" si="16"/>
        <v>0</v>
      </c>
      <c r="U60" s="475">
        <f t="shared" si="16"/>
        <v>0</v>
      </c>
    </row>
    <row r="61" spans="1:23">
      <c r="A61" s="33" t="s">
        <v>19</v>
      </c>
      <c r="B61" s="496" t="s">
        <v>67</v>
      </c>
      <c r="C61" s="363"/>
      <c r="D61" s="363"/>
      <c r="E61" s="137">
        <v>2024</v>
      </c>
      <c r="F61" s="138" t="str">
        <f t="shared" si="14"/>
        <v>£m 20/21</v>
      </c>
      <c r="G61" s="497" t="s">
        <v>43</v>
      </c>
      <c r="H61" s="476"/>
      <c r="I61" s="196"/>
      <c r="J61" s="363">
        <f t="shared" si="15"/>
        <v>0</v>
      </c>
      <c r="K61" s="363">
        <f t="shared" si="15"/>
        <v>0</v>
      </c>
      <c r="L61" s="363">
        <f t="shared" si="15"/>
        <v>0</v>
      </c>
      <c r="M61" s="418">
        <f t="shared" si="15"/>
        <v>0</v>
      </c>
      <c r="N61" s="475">
        <f t="shared" si="15"/>
        <v>0</v>
      </c>
      <c r="O61" s="476"/>
      <c r="P61" s="196"/>
      <c r="Q61" s="363">
        <f t="shared" si="16"/>
        <v>0</v>
      </c>
      <c r="R61" s="363">
        <f t="shared" si="16"/>
        <v>0</v>
      </c>
      <c r="S61" s="363">
        <f t="shared" si="16"/>
        <v>0</v>
      </c>
      <c r="T61" s="418">
        <f t="shared" si="16"/>
        <v>0</v>
      </c>
      <c r="U61" s="475">
        <f t="shared" si="16"/>
        <v>0</v>
      </c>
    </row>
    <row r="62" spans="1:23">
      <c r="A62" s="33" t="s">
        <v>19</v>
      </c>
      <c r="B62" s="496" t="s">
        <v>68</v>
      </c>
      <c r="C62" s="363"/>
      <c r="D62" s="363"/>
      <c r="E62" s="137">
        <v>2024</v>
      </c>
      <c r="F62" s="138" t="str">
        <f t="shared" si="14"/>
        <v>£m 20/21</v>
      </c>
      <c r="G62" s="497" t="s">
        <v>43</v>
      </c>
      <c r="H62" s="476"/>
      <c r="I62" s="196"/>
      <c r="J62" s="363">
        <f t="shared" si="15"/>
        <v>0</v>
      </c>
      <c r="K62" s="363">
        <f t="shared" si="15"/>
        <v>0</v>
      </c>
      <c r="L62" s="363">
        <f t="shared" si="15"/>
        <v>0</v>
      </c>
      <c r="M62" s="418">
        <f t="shared" si="15"/>
        <v>0</v>
      </c>
      <c r="N62" s="475">
        <f t="shared" si="15"/>
        <v>0</v>
      </c>
      <c r="O62" s="476"/>
      <c r="P62" s="196"/>
      <c r="Q62" s="363">
        <f t="shared" si="16"/>
        <v>0</v>
      </c>
      <c r="R62" s="363">
        <f t="shared" si="16"/>
        <v>0</v>
      </c>
      <c r="S62" s="363">
        <f t="shared" si="16"/>
        <v>0</v>
      </c>
      <c r="T62" s="418">
        <f t="shared" si="16"/>
        <v>0</v>
      </c>
      <c r="U62" s="475">
        <f t="shared" si="16"/>
        <v>0</v>
      </c>
    </row>
    <row r="63" spans="1:23">
      <c r="A63" s="33" t="s">
        <v>19</v>
      </c>
      <c r="B63" s="496" t="s">
        <v>69</v>
      </c>
      <c r="C63" s="363"/>
      <c r="D63" s="363"/>
      <c r="E63" s="137">
        <v>2024</v>
      </c>
      <c r="F63" s="138" t="str">
        <f t="shared" si="14"/>
        <v>£m 20/21</v>
      </c>
      <c r="G63" s="497" t="s">
        <v>43</v>
      </c>
      <c r="H63" s="476"/>
      <c r="I63" s="196"/>
      <c r="J63" s="363">
        <f t="shared" si="15"/>
        <v>0</v>
      </c>
      <c r="K63" s="363">
        <f t="shared" si="15"/>
        <v>0</v>
      </c>
      <c r="L63" s="363">
        <f t="shared" si="15"/>
        <v>0</v>
      </c>
      <c r="M63" s="418">
        <f t="shared" si="15"/>
        <v>0</v>
      </c>
      <c r="N63" s="475">
        <f t="shared" si="15"/>
        <v>0</v>
      </c>
      <c r="O63" s="476"/>
      <c r="P63" s="196"/>
      <c r="Q63" s="363">
        <f t="shared" si="16"/>
        <v>0</v>
      </c>
      <c r="R63" s="363">
        <f t="shared" si="16"/>
        <v>0</v>
      </c>
      <c r="S63" s="363">
        <f t="shared" si="16"/>
        <v>0</v>
      </c>
      <c r="T63" s="418">
        <f t="shared" si="16"/>
        <v>0</v>
      </c>
      <c r="U63" s="475">
        <f t="shared" si="16"/>
        <v>0</v>
      </c>
    </row>
    <row r="64" spans="1:23">
      <c r="A64" s="33" t="s">
        <v>19</v>
      </c>
      <c r="B64" s="496" t="s">
        <v>70</v>
      </c>
      <c r="C64" s="363"/>
      <c r="D64" s="363"/>
      <c r="E64" s="137">
        <v>2024</v>
      </c>
      <c r="F64" s="138" t="str">
        <f t="shared" si="14"/>
        <v>£m 20/21</v>
      </c>
      <c r="G64" s="497" t="s">
        <v>43</v>
      </c>
      <c r="H64" s="476"/>
      <c r="I64" s="196"/>
      <c r="J64" s="363">
        <f t="shared" si="15"/>
        <v>0</v>
      </c>
      <c r="K64" s="363">
        <f t="shared" si="15"/>
        <v>0</v>
      </c>
      <c r="L64" s="363">
        <f t="shared" si="15"/>
        <v>0</v>
      </c>
      <c r="M64" s="418">
        <f t="shared" si="15"/>
        <v>0</v>
      </c>
      <c r="N64" s="475">
        <f t="shared" si="15"/>
        <v>0</v>
      </c>
      <c r="O64" s="476"/>
      <c r="P64" s="196"/>
      <c r="Q64" s="363">
        <f t="shared" si="16"/>
        <v>0</v>
      </c>
      <c r="R64" s="363">
        <f t="shared" si="16"/>
        <v>0</v>
      </c>
      <c r="S64" s="363">
        <f t="shared" si="16"/>
        <v>0</v>
      </c>
      <c r="T64" s="418">
        <f t="shared" si="16"/>
        <v>0</v>
      </c>
      <c r="U64" s="475">
        <f t="shared" si="16"/>
        <v>0</v>
      </c>
    </row>
    <row r="65" spans="1:21">
      <c r="A65" s="33" t="s">
        <v>19</v>
      </c>
      <c r="B65" s="496" t="s">
        <v>71</v>
      </c>
      <c r="C65" s="363"/>
      <c r="D65" s="363"/>
      <c r="E65" s="137">
        <v>2024</v>
      </c>
      <c r="F65" s="138" t="str">
        <f t="shared" si="14"/>
        <v>£m 20/21</v>
      </c>
      <c r="G65" s="497" t="s">
        <v>42</v>
      </c>
      <c r="H65" s="476"/>
      <c r="I65" s="196"/>
      <c r="J65" s="363">
        <f t="shared" si="15"/>
        <v>0</v>
      </c>
      <c r="K65" s="363">
        <f t="shared" si="15"/>
        <v>0</v>
      </c>
      <c r="L65" s="363">
        <f t="shared" si="15"/>
        <v>0</v>
      </c>
      <c r="M65" s="418">
        <f t="shared" si="15"/>
        <v>0</v>
      </c>
      <c r="N65" s="475">
        <f t="shared" si="15"/>
        <v>0</v>
      </c>
      <c r="O65" s="476"/>
      <c r="P65" s="196"/>
      <c r="Q65" s="363">
        <f t="shared" si="16"/>
        <v>0</v>
      </c>
      <c r="R65" s="363">
        <f t="shared" si="16"/>
        <v>0</v>
      </c>
      <c r="S65" s="363">
        <f t="shared" si="16"/>
        <v>0</v>
      </c>
      <c r="T65" s="418">
        <f t="shared" si="16"/>
        <v>0</v>
      </c>
      <c r="U65" s="475">
        <f t="shared" si="16"/>
        <v>0</v>
      </c>
    </row>
    <row r="66" spans="1:21">
      <c r="A66" s="33" t="s">
        <v>19</v>
      </c>
      <c r="B66" s="496" t="s">
        <v>72</v>
      </c>
      <c r="C66" s="363"/>
      <c r="D66" s="363"/>
      <c r="E66" s="137">
        <v>2024</v>
      </c>
      <c r="F66" s="138" t="str">
        <f t="shared" si="14"/>
        <v>£m 20/21</v>
      </c>
      <c r="G66" s="497" t="s">
        <v>42</v>
      </c>
      <c r="H66" s="476"/>
      <c r="I66" s="196"/>
      <c r="J66" s="363">
        <f t="shared" si="15"/>
        <v>0</v>
      </c>
      <c r="K66" s="363">
        <f t="shared" si="15"/>
        <v>0</v>
      </c>
      <c r="L66" s="363">
        <f t="shared" si="15"/>
        <v>0</v>
      </c>
      <c r="M66" s="418">
        <f t="shared" si="15"/>
        <v>0</v>
      </c>
      <c r="N66" s="475">
        <f t="shared" si="15"/>
        <v>0</v>
      </c>
      <c r="O66" s="476"/>
      <c r="P66" s="196"/>
      <c r="Q66" s="363">
        <f t="shared" si="16"/>
        <v>0</v>
      </c>
      <c r="R66" s="363">
        <f t="shared" si="16"/>
        <v>0</v>
      </c>
      <c r="S66" s="363">
        <f t="shared" si="16"/>
        <v>0</v>
      </c>
      <c r="T66" s="418">
        <f t="shared" si="16"/>
        <v>0</v>
      </c>
      <c r="U66" s="475">
        <f t="shared" si="16"/>
        <v>0</v>
      </c>
    </row>
    <row r="67" spans="1:21">
      <c r="A67" s="33" t="s">
        <v>19</v>
      </c>
      <c r="B67" s="496" t="s">
        <v>73</v>
      </c>
      <c r="C67" s="363"/>
      <c r="D67" s="363"/>
      <c r="E67" s="137">
        <v>2024</v>
      </c>
      <c r="F67" s="138" t="str">
        <f t="shared" si="14"/>
        <v>£m 20/21</v>
      </c>
      <c r="G67" s="497" t="s">
        <v>42</v>
      </c>
      <c r="H67" s="476"/>
      <c r="I67" s="196"/>
      <c r="J67" s="363">
        <f t="shared" si="15"/>
        <v>0</v>
      </c>
      <c r="K67" s="363">
        <f t="shared" si="15"/>
        <v>0</v>
      </c>
      <c r="L67" s="363">
        <f t="shared" si="15"/>
        <v>0</v>
      </c>
      <c r="M67" s="418">
        <f t="shared" si="15"/>
        <v>0</v>
      </c>
      <c r="N67" s="475">
        <f t="shared" si="15"/>
        <v>0</v>
      </c>
      <c r="O67" s="476"/>
      <c r="P67" s="196"/>
      <c r="Q67" s="363">
        <f t="shared" si="16"/>
        <v>0</v>
      </c>
      <c r="R67" s="363">
        <f t="shared" si="16"/>
        <v>0</v>
      </c>
      <c r="S67" s="363">
        <f t="shared" si="16"/>
        <v>0</v>
      </c>
      <c r="T67" s="418">
        <f t="shared" si="16"/>
        <v>0</v>
      </c>
      <c r="U67" s="475">
        <f t="shared" si="16"/>
        <v>0</v>
      </c>
    </row>
    <row r="68" spans="1:21">
      <c r="A68" s="33" t="s">
        <v>19</v>
      </c>
      <c r="B68" s="496" t="s">
        <v>74</v>
      </c>
      <c r="C68" s="363"/>
      <c r="D68" s="363"/>
      <c r="E68" s="137">
        <v>2024</v>
      </c>
      <c r="F68" s="138" t="str">
        <f t="shared" si="14"/>
        <v>£m 20/21</v>
      </c>
      <c r="G68" s="497" t="s">
        <v>42</v>
      </c>
      <c r="H68" s="476"/>
      <c r="I68" s="196"/>
      <c r="J68" s="363">
        <f t="shared" si="15"/>
        <v>0</v>
      </c>
      <c r="K68" s="363">
        <f t="shared" si="15"/>
        <v>0</v>
      </c>
      <c r="L68" s="363">
        <f t="shared" si="15"/>
        <v>0</v>
      </c>
      <c r="M68" s="418">
        <f t="shared" si="15"/>
        <v>0</v>
      </c>
      <c r="N68" s="475">
        <f t="shared" si="15"/>
        <v>0</v>
      </c>
      <c r="O68" s="476"/>
      <c r="P68" s="196"/>
      <c r="Q68" s="363">
        <f t="shared" si="16"/>
        <v>0</v>
      </c>
      <c r="R68" s="363">
        <f t="shared" si="16"/>
        <v>0</v>
      </c>
      <c r="S68" s="363">
        <f t="shared" si="16"/>
        <v>0</v>
      </c>
      <c r="T68" s="418">
        <f t="shared" si="16"/>
        <v>0</v>
      </c>
      <c r="U68" s="475">
        <f t="shared" si="16"/>
        <v>0</v>
      </c>
    </row>
    <row r="69" spans="1:21">
      <c r="A69" s="33" t="s">
        <v>25</v>
      </c>
      <c r="B69" s="496" t="s">
        <v>75</v>
      </c>
      <c r="C69" s="363">
        <v>0.5</v>
      </c>
      <c r="D69" s="363">
        <v>0.6</v>
      </c>
      <c r="E69" s="137">
        <v>2022</v>
      </c>
      <c r="F69" s="138" t="str">
        <f t="shared" si="14"/>
        <v>£m 18/19</v>
      </c>
      <c r="G69" s="497" t="s">
        <v>25</v>
      </c>
      <c r="H69" s="477">
        <f t="shared" ref="H69:L83" si="17">INDEX($C$36:$I$43,MATCH($G69,$B$36:$B$43,0),MATCH(H$54,$C$35:$I$35))</f>
        <v>2.0500000000000001E-2</v>
      </c>
      <c r="I69" s="363">
        <f t="shared" si="17"/>
        <v>1.9E-2</v>
      </c>
      <c r="J69" s="363">
        <f t="shared" si="17"/>
        <v>1.83E-2</v>
      </c>
      <c r="K69" s="363">
        <f t="shared" si="17"/>
        <v>1.78E-2</v>
      </c>
      <c r="L69" s="363">
        <f t="shared" si="17"/>
        <v>1.7500000000000002E-2</v>
      </c>
      <c r="M69" s="196"/>
      <c r="N69" s="478"/>
      <c r="O69" s="477">
        <f t="shared" ref="O69:S83" si="18">INDEX($C$47:$I$51,MATCH($A69,$B$47:$B$51,0),MATCH(O$54,$C$46:$I$46))</f>
        <v>4.5181881000000007E-2</v>
      </c>
      <c r="P69" s="363">
        <f t="shared" si="18"/>
        <v>4.5568105000000005E-2</v>
      </c>
      <c r="Q69" s="363">
        <f t="shared" si="18"/>
        <v>4.5399131999999995E-2</v>
      </c>
      <c r="R69" s="363">
        <f t="shared" si="18"/>
        <v>4.564052200000001E-2</v>
      </c>
      <c r="S69" s="363">
        <f t="shared" si="18"/>
        <v>4.5833633999999998E-2</v>
      </c>
      <c r="T69" s="196"/>
      <c r="U69" s="478"/>
    </row>
    <row r="70" spans="1:21">
      <c r="A70" s="33" t="s">
        <v>25</v>
      </c>
      <c r="B70" s="496" t="s">
        <v>76</v>
      </c>
      <c r="C70" s="363">
        <v>0.5</v>
      </c>
      <c r="D70" s="363">
        <v>0.6</v>
      </c>
      <c r="E70" s="137">
        <v>2022</v>
      </c>
      <c r="F70" s="138" t="str">
        <f t="shared" si="14"/>
        <v>£m 18/19</v>
      </c>
      <c r="G70" s="497" t="s">
        <v>25</v>
      </c>
      <c r="H70" s="477">
        <f t="shared" si="17"/>
        <v>2.0500000000000001E-2</v>
      </c>
      <c r="I70" s="363">
        <f t="shared" si="17"/>
        <v>1.9E-2</v>
      </c>
      <c r="J70" s="363">
        <f t="shared" si="17"/>
        <v>1.83E-2</v>
      </c>
      <c r="K70" s="363">
        <f t="shared" si="17"/>
        <v>1.78E-2</v>
      </c>
      <c r="L70" s="363">
        <f t="shared" si="17"/>
        <v>1.7500000000000002E-2</v>
      </c>
      <c r="M70" s="196"/>
      <c r="N70" s="478"/>
      <c r="O70" s="477">
        <f t="shared" si="18"/>
        <v>4.5181881000000007E-2</v>
      </c>
      <c r="P70" s="363">
        <f t="shared" si="18"/>
        <v>4.5568105000000005E-2</v>
      </c>
      <c r="Q70" s="363">
        <f t="shared" si="18"/>
        <v>4.5399131999999995E-2</v>
      </c>
      <c r="R70" s="363">
        <f t="shared" si="18"/>
        <v>4.564052200000001E-2</v>
      </c>
      <c r="S70" s="363">
        <f t="shared" si="18"/>
        <v>4.5833633999999998E-2</v>
      </c>
      <c r="T70" s="196"/>
      <c r="U70" s="478"/>
    </row>
    <row r="71" spans="1:21">
      <c r="A71" s="33" t="s">
        <v>25</v>
      </c>
      <c r="B71" s="496" t="s">
        <v>77</v>
      </c>
      <c r="C71" s="363">
        <v>0.5</v>
      </c>
      <c r="D71" s="363">
        <v>0.6</v>
      </c>
      <c r="E71" s="137">
        <v>2022</v>
      </c>
      <c r="F71" s="138" t="str">
        <f t="shared" si="14"/>
        <v>£m 18/19</v>
      </c>
      <c r="G71" s="497" t="s">
        <v>25</v>
      </c>
      <c r="H71" s="477">
        <f t="shared" si="17"/>
        <v>2.0500000000000001E-2</v>
      </c>
      <c r="I71" s="363">
        <f t="shared" si="17"/>
        <v>1.9E-2</v>
      </c>
      <c r="J71" s="363">
        <f t="shared" si="17"/>
        <v>1.83E-2</v>
      </c>
      <c r="K71" s="363">
        <f t="shared" si="17"/>
        <v>1.78E-2</v>
      </c>
      <c r="L71" s="363">
        <f t="shared" si="17"/>
        <v>1.7500000000000002E-2</v>
      </c>
      <c r="M71" s="196"/>
      <c r="N71" s="478"/>
      <c r="O71" s="477">
        <f t="shared" si="18"/>
        <v>4.5181881000000007E-2</v>
      </c>
      <c r="P71" s="363">
        <f t="shared" si="18"/>
        <v>4.5568105000000005E-2</v>
      </c>
      <c r="Q71" s="363">
        <f t="shared" si="18"/>
        <v>4.5399131999999995E-2</v>
      </c>
      <c r="R71" s="363">
        <f t="shared" si="18"/>
        <v>4.564052200000001E-2</v>
      </c>
      <c r="S71" s="363">
        <f t="shared" si="18"/>
        <v>4.5833633999999998E-2</v>
      </c>
      <c r="T71" s="196"/>
      <c r="U71" s="478"/>
    </row>
    <row r="72" spans="1:21">
      <c r="A72" s="33" t="s">
        <v>25</v>
      </c>
      <c r="B72" s="496" t="s">
        <v>78</v>
      </c>
      <c r="C72" s="363">
        <v>0.5</v>
      </c>
      <c r="D72" s="363">
        <v>0.6</v>
      </c>
      <c r="E72" s="137">
        <v>2022</v>
      </c>
      <c r="F72" s="138" t="str">
        <f t="shared" si="14"/>
        <v>£m 18/19</v>
      </c>
      <c r="G72" s="497" t="s">
        <v>25</v>
      </c>
      <c r="H72" s="477">
        <f t="shared" si="17"/>
        <v>2.0500000000000001E-2</v>
      </c>
      <c r="I72" s="363">
        <f t="shared" si="17"/>
        <v>1.9E-2</v>
      </c>
      <c r="J72" s="363">
        <f t="shared" si="17"/>
        <v>1.83E-2</v>
      </c>
      <c r="K72" s="363">
        <f t="shared" si="17"/>
        <v>1.78E-2</v>
      </c>
      <c r="L72" s="363">
        <f t="shared" si="17"/>
        <v>1.7500000000000002E-2</v>
      </c>
      <c r="M72" s="196"/>
      <c r="N72" s="478"/>
      <c r="O72" s="477">
        <f t="shared" si="18"/>
        <v>4.5181881000000007E-2</v>
      </c>
      <c r="P72" s="363">
        <f t="shared" si="18"/>
        <v>4.5568105000000005E-2</v>
      </c>
      <c r="Q72" s="363">
        <f t="shared" si="18"/>
        <v>4.5399131999999995E-2</v>
      </c>
      <c r="R72" s="363">
        <f t="shared" si="18"/>
        <v>4.564052200000001E-2</v>
      </c>
      <c r="S72" s="363">
        <f t="shared" si="18"/>
        <v>4.5833633999999998E-2</v>
      </c>
      <c r="T72" s="196"/>
      <c r="U72" s="478"/>
    </row>
    <row r="73" spans="1:21">
      <c r="A73" s="33" t="s">
        <v>25</v>
      </c>
      <c r="B73" s="496" t="s">
        <v>79</v>
      </c>
      <c r="C73" s="363">
        <v>0.51</v>
      </c>
      <c r="D73" s="363">
        <v>0.6</v>
      </c>
      <c r="E73" s="137">
        <v>2022</v>
      </c>
      <c r="F73" s="138" t="str">
        <f t="shared" si="14"/>
        <v>£m 18/19</v>
      </c>
      <c r="G73" s="497" t="s">
        <v>46</v>
      </c>
      <c r="H73" s="477">
        <f t="shared" si="17"/>
        <v>2.1100000000000001E-2</v>
      </c>
      <c r="I73" s="363">
        <f t="shared" si="17"/>
        <v>1.9599999999999999E-2</v>
      </c>
      <c r="J73" s="363">
        <f t="shared" si="17"/>
        <v>1.89E-2</v>
      </c>
      <c r="K73" s="363">
        <f t="shared" si="17"/>
        <v>1.84E-2</v>
      </c>
      <c r="L73" s="363">
        <f t="shared" si="17"/>
        <v>1.8100000000000002E-2</v>
      </c>
      <c r="M73" s="196"/>
      <c r="N73" s="478"/>
      <c r="O73" s="477">
        <f t="shared" si="18"/>
        <v>4.5181881000000007E-2</v>
      </c>
      <c r="P73" s="363">
        <f t="shared" si="18"/>
        <v>4.5568105000000005E-2</v>
      </c>
      <c r="Q73" s="363">
        <f t="shared" si="18"/>
        <v>4.5399131999999995E-2</v>
      </c>
      <c r="R73" s="363">
        <f t="shared" si="18"/>
        <v>4.564052200000001E-2</v>
      </c>
      <c r="S73" s="363">
        <f t="shared" si="18"/>
        <v>4.5833633999999998E-2</v>
      </c>
      <c r="T73" s="196"/>
      <c r="U73" s="478"/>
    </row>
    <row r="74" spans="1:21">
      <c r="A74" s="33" t="s">
        <v>25</v>
      </c>
      <c r="B74" s="496" t="s">
        <v>80</v>
      </c>
      <c r="C74" s="363">
        <v>0.51</v>
      </c>
      <c r="D74" s="363">
        <v>0.6</v>
      </c>
      <c r="E74" s="137">
        <v>2022</v>
      </c>
      <c r="F74" s="138" t="str">
        <f t="shared" si="14"/>
        <v>£m 18/19</v>
      </c>
      <c r="G74" s="497" t="s">
        <v>46</v>
      </c>
      <c r="H74" s="477">
        <f t="shared" si="17"/>
        <v>2.1100000000000001E-2</v>
      </c>
      <c r="I74" s="363">
        <f t="shared" si="17"/>
        <v>1.9599999999999999E-2</v>
      </c>
      <c r="J74" s="363">
        <f t="shared" si="17"/>
        <v>1.89E-2</v>
      </c>
      <c r="K74" s="363">
        <f t="shared" si="17"/>
        <v>1.84E-2</v>
      </c>
      <c r="L74" s="363">
        <f t="shared" si="17"/>
        <v>1.8100000000000002E-2</v>
      </c>
      <c r="M74" s="196"/>
      <c r="N74" s="478"/>
      <c r="O74" s="477">
        <f t="shared" si="18"/>
        <v>4.5181881000000007E-2</v>
      </c>
      <c r="P74" s="363">
        <f t="shared" si="18"/>
        <v>4.5568105000000005E-2</v>
      </c>
      <c r="Q74" s="363">
        <f t="shared" si="18"/>
        <v>4.5399131999999995E-2</v>
      </c>
      <c r="R74" s="363">
        <f t="shared" si="18"/>
        <v>4.564052200000001E-2</v>
      </c>
      <c r="S74" s="363">
        <f t="shared" si="18"/>
        <v>4.5833633999999998E-2</v>
      </c>
      <c r="T74" s="196"/>
      <c r="U74" s="478"/>
    </row>
    <row r="75" spans="1:21">
      <c r="A75" s="33" t="s">
        <v>25</v>
      </c>
      <c r="B75" s="496" t="s">
        <v>81</v>
      </c>
      <c r="C75" s="363">
        <v>0.5</v>
      </c>
      <c r="D75" s="363">
        <v>0.6</v>
      </c>
      <c r="E75" s="137">
        <v>2022</v>
      </c>
      <c r="F75" s="138" t="str">
        <f t="shared" si="14"/>
        <v>£m 18/19</v>
      </c>
      <c r="G75" s="497" t="s">
        <v>25</v>
      </c>
      <c r="H75" s="477">
        <f t="shared" si="17"/>
        <v>2.0500000000000001E-2</v>
      </c>
      <c r="I75" s="363">
        <f t="shared" si="17"/>
        <v>1.9E-2</v>
      </c>
      <c r="J75" s="363">
        <f t="shared" si="17"/>
        <v>1.83E-2</v>
      </c>
      <c r="K75" s="363">
        <f t="shared" si="17"/>
        <v>1.78E-2</v>
      </c>
      <c r="L75" s="363">
        <f t="shared" si="17"/>
        <v>1.7500000000000002E-2</v>
      </c>
      <c r="M75" s="196"/>
      <c r="N75" s="478"/>
      <c r="O75" s="477">
        <f t="shared" si="18"/>
        <v>4.5181881000000007E-2</v>
      </c>
      <c r="P75" s="363">
        <f t="shared" si="18"/>
        <v>4.5568105000000005E-2</v>
      </c>
      <c r="Q75" s="363">
        <f t="shared" si="18"/>
        <v>4.5399131999999995E-2</v>
      </c>
      <c r="R75" s="363">
        <f t="shared" si="18"/>
        <v>4.564052200000001E-2</v>
      </c>
      <c r="S75" s="363">
        <f t="shared" si="18"/>
        <v>4.5833633999999998E-2</v>
      </c>
      <c r="T75" s="196"/>
      <c r="U75" s="478"/>
    </row>
    <row r="76" spans="1:21">
      <c r="A76" s="33" t="s">
        <v>25</v>
      </c>
      <c r="B76" s="496" t="s">
        <v>82</v>
      </c>
      <c r="C76" s="363">
        <v>0.5</v>
      </c>
      <c r="D76" s="363">
        <v>0.6</v>
      </c>
      <c r="E76" s="137">
        <v>2022</v>
      </c>
      <c r="F76" s="138" t="str">
        <f t="shared" si="14"/>
        <v>£m 18/19</v>
      </c>
      <c r="G76" s="497" t="s">
        <v>46</v>
      </c>
      <c r="H76" s="477">
        <f t="shared" si="17"/>
        <v>2.1100000000000001E-2</v>
      </c>
      <c r="I76" s="363">
        <f t="shared" si="17"/>
        <v>1.9599999999999999E-2</v>
      </c>
      <c r="J76" s="363">
        <f t="shared" si="17"/>
        <v>1.89E-2</v>
      </c>
      <c r="K76" s="363">
        <f t="shared" si="17"/>
        <v>1.84E-2</v>
      </c>
      <c r="L76" s="363">
        <f t="shared" si="17"/>
        <v>1.8100000000000002E-2</v>
      </c>
      <c r="M76" s="196"/>
      <c r="N76" s="478"/>
      <c r="O76" s="477">
        <f t="shared" si="18"/>
        <v>4.5181881000000007E-2</v>
      </c>
      <c r="P76" s="363">
        <f t="shared" si="18"/>
        <v>4.5568105000000005E-2</v>
      </c>
      <c r="Q76" s="363">
        <f t="shared" si="18"/>
        <v>4.5399131999999995E-2</v>
      </c>
      <c r="R76" s="363">
        <f t="shared" si="18"/>
        <v>4.564052200000001E-2</v>
      </c>
      <c r="S76" s="363">
        <f t="shared" si="18"/>
        <v>4.5833633999999998E-2</v>
      </c>
      <c r="T76" s="196"/>
      <c r="U76" s="478"/>
    </row>
    <row r="77" spans="1:21">
      <c r="A77" s="33" t="s">
        <v>27</v>
      </c>
      <c r="B77" s="496" t="s">
        <v>83</v>
      </c>
      <c r="C77" s="363">
        <v>0.61</v>
      </c>
      <c r="D77" s="363">
        <v>0.6</v>
      </c>
      <c r="E77" s="137">
        <v>2022</v>
      </c>
      <c r="F77" s="138" t="str">
        <f t="shared" si="14"/>
        <v>£m 18/19</v>
      </c>
      <c r="G77" s="497" t="s">
        <v>27</v>
      </c>
      <c r="H77" s="477">
        <f t="shared" si="17"/>
        <v>2.0500000000000001E-2</v>
      </c>
      <c r="I77" s="363">
        <f t="shared" si="17"/>
        <v>1.9E-2</v>
      </c>
      <c r="J77" s="363">
        <f t="shared" si="17"/>
        <v>1.83E-2</v>
      </c>
      <c r="K77" s="363">
        <f t="shared" si="17"/>
        <v>1.78E-2</v>
      </c>
      <c r="L77" s="363">
        <f t="shared" si="17"/>
        <v>1.7500000000000002E-2</v>
      </c>
      <c r="M77" s="196"/>
      <c r="N77" s="478"/>
      <c r="O77" s="477">
        <f t="shared" si="18"/>
        <v>4.5181881000000007E-2</v>
      </c>
      <c r="P77" s="363">
        <f t="shared" si="18"/>
        <v>4.5568105000000005E-2</v>
      </c>
      <c r="Q77" s="363">
        <f t="shared" si="18"/>
        <v>4.5399131999999995E-2</v>
      </c>
      <c r="R77" s="363">
        <f t="shared" si="18"/>
        <v>4.564052200000001E-2</v>
      </c>
      <c r="S77" s="363">
        <f t="shared" si="18"/>
        <v>4.5833633999999998E-2</v>
      </c>
      <c r="T77" s="196"/>
      <c r="U77" s="478"/>
    </row>
    <row r="78" spans="1:21">
      <c r="A78" s="33" t="s">
        <v>27</v>
      </c>
      <c r="B78" s="496" t="s">
        <v>84</v>
      </c>
      <c r="C78" s="363">
        <v>0.61</v>
      </c>
      <c r="D78" s="363">
        <v>0.6</v>
      </c>
      <c r="E78" s="137">
        <v>2022</v>
      </c>
      <c r="F78" s="138" t="str">
        <f t="shared" si="14"/>
        <v>£m 18/19</v>
      </c>
      <c r="G78" s="497" t="s">
        <v>27</v>
      </c>
      <c r="H78" s="477">
        <f t="shared" si="17"/>
        <v>2.0500000000000001E-2</v>
      </c>
      <c r="I78" s="363">
        <f t="shared" si="17"/>
        <v>1.9E-2</v>
      </c>
      <c r="J78" s="363">
        <f t="shared" si="17"/>
        <v>1.83E-2</v>
      </c>
      <c r="K78" s="363">
        <f t="shared" si="17"/>
        <v>1.78E-2</v>
      </c>
      <c r="L78" s="363">
        <f t="shared" si="17"/>
        <v>1.7500000000000002E-2</v>
      </c>
      <c r="M78" s="196"/>
      <c r="N78" s="478"/>
      <c r="O78" s="477">
        <f t="shared" si="18"/>
        <v>4.5181881000000007E-2</v>
      </c>
      <c r="P78" s="363">
        <f t="shared" si="18"/>
        <v>4.5568105000000005E-2</v>
      </c>
      <c r="Q78" s="363">
        <f t="shared" si="18"/>
        <v>4.5399131999999995E-2</v>
      </c>
      <c r="R78" s="363">
        <f t="shared" si="18"/>
        <v>4.564052200000001E-2</v>
      </c>
      <c r="S78" s="363">
        <f t="shared" si="18"/>
        <v>4.5833633999999998E-2</v>
      </c>
      <c r="T78" s="196"/>
      <c r="U78" s="478"/>
    </row>
    <row r="79" spans="1:21">
      <c r="A79" s="33" t="s">
        <v>27</v>
      </c>
      <c r="B79" s="496" t="s">
        <v>4</v>
      </c>
      <c r="C79" s="363">
        <v>0.61</v>
      </c>
      <c r="D79" s="363">
        <v>0.6</v>
      </c>
      <c r="E79" s="137">
        <v>2022</v>
      </c>
      <c r="F79" s="138" t="str">
        <f t="shared" si="14"/>
        <v>£m 18/19</v>
      </c>
      <c r="G79" s="497" t="s">
        <v>27</v>
      </c>
      <c r="H79" s="477">
        <f t="shared" si="17"/>
        <v>2.0500000000000001E-2</v>
      </c>
      <c r="I79" s="363">
        <f t="shared" si="17"/>
        <v>1.9E-2</v>
      </c>
      <c r="J79" s="363">
        <f t="shared" si="17"/>
        <v>1.83E-2</v>
      </c>
      <c r="K79" s="363">
        <f t="shared" si="17"/>
        <v>1.78E-2</v>
      </c>
      <c r="L79" s="363">
        <f t="shared" si="17"/>
        <v>1.7500000000000002E-2</v>
      </c>
      <c r="M79" s="196"/>
      <c r="N79" s="478"/>
      <c r="O79" s="477">
        <f t="shared" si="18"/>
        <v>4.5181881000000007E-2</v>
      </c>
      <c r="P79" s="363">
        <f t="shared" si="18"/>
        <v>4.5568105000000005E-2</v>
      </c>
      <c r="Q79" s="363">
        <f t="shared" si="18"/>
        <v>4.5399131999999995E-2</v>
      </c>
      <c r="R79" s="363">
        <f t="shared" si="18"/>
        <v>4.564052200000001E-2</v>
      </c>
      <c r="S79" s="363">
        <f t="shared" si="18"/>
        <v>4.5833633999999998E-2</v>
      </c>
      <c r="T79" s="196"/>
      <c r="U79" s="478"/>
    </row>
    <row r="80" spans="1:21">
      <c r="A80" s="33" t="s">
        <v>22</v>
      </c>
      <c r="B80" s="496" t="s">
        <v>85</v>
      </c>
      <c r="C80" s="363">
        <v>0.67</v>
      </c>
      <c r="D80" s="363">
        <v>0.55000000000000004</v>
      </c>
      <c r="E80" s="137">
        <v>2022</v>
      </c>
      <c r="F80" s="138" t="str">
        <f t="shared" si="14"/>
        <v>£m 18/19</v>
      </c>
      <c r="G80" s="497" t="s">
        <v>45</v>
      </c>
      <c r="H80" s="477">
        <f t="shared" si="17"/>
        <v>2.0500000000000001E-2</v>
      </c>
      <c r="I80" s="363">
        <f t="shared" si="17"/>
        <v>1.9E-2</v>
      </c>
      <c r="J80" s="363">
        <f t="shared" si="17"/>
        <v>1.83E-2</v>
      </c>
      <c r="K80" s="363">
        <f t="shared" si="17"/>
        <v>1.78E-2</v>
      </c>
      <c r="L80" s="363">
        <f t="shared" si="17"/>
        <v>1.7500000000000002E-2</v>
      </c>
      <c r="M80" s="196"/>
      <c r="N80" s="478"/>
      <c r="O80" s="477">
        <f t="shared" si="18"/>
        <v>4.2439449777777784E-2</v>
      </c>
      <c r="P80" s="363">
        <f t="shared" si="18"/>
        <v>4.2616093333333334E-2</v>
      </c>
      <c r="Q80" s="363">
        <f t="shared" si="18"/>
        <v>4.2388117333333329E-2</v>
      </c>
      <c r="R80" s="363">
        <f t="shared" si="18"/>
        <v>4.2547130666666676E-2</v>
      </c>
      <c r="S80" s="363">
        <f t="shared" si="18"/>
        <v>4.2685452444444452E-2</v>
      </c>
      <c r="T80" s="196"/>
      <c r="U80" s="478"/>
    </row>
    <row r="81" spans="1:21">
      <c r="A81" s="33" t="s">
        <v>28</v>
      </c>
      <c r="B81" s="496" t="s">
        <v>28</v>
      </c>
      <c r="C81" s="363">
        <v>1</v>
      </c>
      <c r="D81" s="363">
        <v>0.55000000000000004</v>
      </c>
      <c r="E81" s="137">
        <v>2022</v>
      </c>
      <c r="F81" s="138" t="str">
        <f t="shared" si="14"/>
        <v>£m 18/19</v>
      </c>
      <c r="G81" s="497" t="s">
        <v>28</v>
      </c>
      <c r="H81" s="477">
        <f t="shared" si="17"/>
        <v>-1E-4</v>
      </c>
      <c r="I81" s="363">
        <f t="shared" si="17"/>
        <v>9.2999999999999992E-3</v>
      </c>
      <c r="J81" s="363">
        <f t="shared" si="17"/>
        <v>1.06E-2</v>
      </c>
      <c r="K81" s="363">
        <f t="shared" si="17"/>
        <v>9.1999999999999998E-3</v>
      </c>
      <c r="L81" s="363">
        <f t="shared" si="17"/>
        <v>7.7999999999999996E-3</v>
      </c>
      <c r="M81" s="196"/>
      <c r="N81" s="478"/>
      <c r="O81" s="477">
        <f t="shared" si="18"/>
        <v>7.5718976000000007E-2</v>
      </c>
      <c r="P81" s="363">
        <f t="shared" si="18"/>
        <v>7.5510080000000007E-2</v>
      </c>
      <c r="Q81" s="363">
        <f t="shared" si="18"/>
        <v>7.5601472000000003E-2</v>
      </c>
      <c r="R81" s="363">
        <f t="shared" si="18"/>
        <v>7.5470912000000001E-2</v>
      </c>
      <c r="S81" s="363">
        <f t="shared" si="18"/>
        <v>7.5366464000000008E-2</v>
      </c>
      <c r="T81" s="196"/>
      <c r="U81" s="478"/>
    </row>
    <row r="82" spans="1:21">
      <c r="A82" s="33" t="s">
        <v>22</v>
      </c>
      <c r="B82" s="496" t="s">
        <v>86</v>
      </c>
      <c r="C82" s="363">
        <v>0.51</v>
      </c>
      <c r="D82" s="363">
        <v>0.55000000000000004</v>
      </c>
      <c r="E82" s="137">
        <v>2022</v>
      </c>
      <c r="F82" s="138" t="str">
        <f t="shared" si="14"/>
        <v>£m 18/19</v>
      </c>
      <c r="G82" s="497" t="s">
        <v>45</v>
      </c>
      <c r="H82" s="477">
        <f t="shared" si="17"/>
        <v>2.0500000000000001E-2</v>
      </c>
      <c r="I82" s="363">
        <f t="shared" si="17"/>
        <v>1.9E-2</v>
      </c>
      <c r="J82" s="363">
        <f t="shared" si="17"/>
        <v>1.83E-2</v>
      </c>
      <c r="K82" s="363">
        <f t="shared" si="17"/>
        <v>1.78E-2</v>
      </c>
      <c r="L82" s="363">
        <f t="shared" si="17"/>
        <v>1.7500000000000002E-2</v>
      </c>
      <c r="M82" s="196"/>
      <c r="N82" s="478"/>
      <c r="O82" s="477">
        <f t="shared" si="18"/>
        <v>4.2439449777777784E-2</v>
      </c>
      <c r="P82" s="363">
        <f t="shared" si="18"/>
        <v>4.2616093333333334E-2</v>
      </c>
      <c r="Q82" s="363">
        <f t="shared" si="18"/>
        <v>4.2388117333333329E-2</v>
      </c>
      <c r="R82" s="363">
        <f t="shared" si="18"/>
        <v>4.2547130666666676E-2</v>
      </c>
      <c r="S82" s="363">
        <f t="shared" si="18"/>
        <v>4.2685452444444452E-2</v>
      </c>
      <c r="T82" s="196"/>
      <c r="U82" s="478"/>
    </row>
    <row r="83" spans="1:21" ht="13.5" thickBot="1">
      <c r="A83" s="33" t="s">
        <v>22</v>
      </c>
      <c r="B83" s="498" t="s">
        <v>44</v>
      </c>
      <c r="C83" s="480">
        <v>0.64</v>
      </c>
      <c r="D83" s="480">
        <v>0.55000000000000004</v>
      </c>
      <c r="E83" s="499">
        <v>2022</v>
      </c>
      <c r="F83" s="500" t="str">
        <f t="shared" si="14"/>
        <v>£m 18/19</v>
      </c>
      <c r="G83" s="501" t="s">
        <v>44</v>
      </c>
      <c r="H83" s="479">
        <f t="shared" si="17"/>
        <v>1.8143044979056552E-2</v>
      </c>
      <c r="I83" s="480">
        <f t="shared" si="17"/>
        <v>1.5909426602326575E-2</v>
      </c>
      <c r="J83" s="480">
        <f t="shared" si="17"/>
        <v>1.5486013713550701E-2</v>
      </c>
      <c r="K83" s="480">
        <f t="shared" si="17"/>
        <v>1.4921786215027617E-2</v>
      </c>
      <c r="L83" s="480">
        <f t="shared" si="17"/>
        <v>1.4560675534238218E-2</v>
      </c>
      <c r="M83" s="481"/>
      <c r="N83" s="482"/>
      <c r="O83" s="479">
        <f t="shared" si="18"/>
        <v>4.2439449777777784E-2</v>
      </c>
      <c r="P83" s="480">
        <f t="shared" si="18"/>
        <v>4.2616093333333334E-2</v>
      </c>
      <c r="Q83" s="480">
        <f t="shared" si="18"/>
        <v>4.2388117333333329E-2</v>
      </c>
      <c r="R83" s="480">
        <f t="shared" si="18"/>
        <v>4.2547130666666676E-2</v>
      </c>
      <c r="S83" s="480">
        <f t="shared" si="18"/>
        <v>4.2685452444444452E-2</v>
      </c>
      <c r="T83" s="481"/>
      <c r="U83" s="482"/>
    </row>
    <row r="84" spans="1:21">
      <c r="I84" s="39"/>
    </row>
    <row r="85" spans="1:21">
      <c r="I85" s="39"/>
    </row>
    <row r="86" spans="1:21">
      <c r="I86" s="39"/>
    </row>
    <row r="87" spans="1:21" ht="13.5">
      <c r="B87" s="6"/>
      <c r="D87" s="352"/>
      <c r="E87" s="352"/>
      <c r="F87" s="352"/>
      <c r="G87" s="352"/>
      <c r="H87" s="352"/>
      <c r="I87" s="352"/>
      <c r="J87" s="352"/>
    </row>
    <row r="89" spans="1:21" ht="14.25">
      <c r="B89" s="316" t="s">
        <v>87</v>
      </c>
      <c r="C89" s="62">
        <v>2022</v>
      </c>
      <c r="D89" s="63">
        <f t="shared" ref="D89:I89" si="19">C89+1</f>
        <v>2023</v>
      </c>
      <c r="E89" s="63">
        <f t="shared" si="19"/>
        <v>2024</v>
      </c>
      <c r="F89" s="63">
        <f t="shared" si="19"/>
        <v>2025</v>
      </c>
      <c r="G89" s="63">
        <f t="shared" si="19"/>
        <v>2026</v>
      </c>
      <c r="H89" s="63">
        <f t="shared" si="19"/>
        <v>2027</v>
      </c>
      <c r="I89" s="63">
        <f t="shared" si="19"/>
        <v>2028</v>
      </c>
    </row>
    <row r="90" spans="1:21">
      <c r="B90" s="317" t="s">
        <v>61</v>
      </c>
      <c r="C90" s="196"/>
      <c r="D90" s="196"/>
      <c r="E90" s="318">
        <v>0</v>
      </c>
      <c r="F90" s="318">
        <v>0</v>
      </c>
      <c r="G90" s="318">
        <v>0</v>
      </c>
      <c r="H90" s="318">
        <v>0</v>
      </c>
      <c r="I90" s="318">
        <v>0</v>
      </c>
    </row>
    <row r="91" spans="1:21">
      <c r="B91" s="317" t="s">
        <v>62</v>
      </c>
      <c r="C91" s="196"/>
      <c r="D91" s="196"/>
      <c r="E91" s="318">
        <v>0</v>
      </c>
      <c r="F91" s="318">
        <v>0</v>
      </c>
      <c r="G91" s="318">
        <v>0</v>
      </c>
      <c r="H91" s="318">
        <v>0</v>
      </c>
      <c r="I91" s="318">
        <v>0</v>
      </c>
    </row>
    <row r="92" spans="1:21">
      <c r="B92" s="317" t="s">
        <v>63</v>
      </c>
      <c r="C92" s="196"/>
      <c r="D92" s="196"/>
      <c r="E92" s="318">
        <v>0</v>
      </c>
      <c r="F92" s="318">
        <v>0</v>
      </c>
      <c r="G92" s="318">
        <v>0</v>
      </c>
      <c r="H92" s="318">
        <v>0</v>
      </c>
      <c r="I92" s="318">
        <v>0</v>
      </c>
      <c r="J92" s="253"/>
      <c r="K92" s="253"/>
      <c r="L92" s="253"/>
      <c r="M92" s="253"/>
      <c r="N92" s="253"/>
    </row>
    <row r="93" spans="1:21">
      <c r="B93" s="317" t="s">
        <v>64</v>
      </c>
      <c r="C93" s="196"/>
      <c r="D93" s="196"/>
      <c r="E93" s="318">
        <v>0</v>
      </c>
      <c r="F93" s="318">
        <v>0</v>
      </c>
      <c r="G93" s="318">
        <v>0</v>
      </c>
      <c r="H93" s="318">
        <v>0</v>
      </c>
      <c r="I93" s="318">
        <v>0</v>
      </c>
    </row>
    <row r="94" spans="1:21">
      <c r="B94" s="317" t="s">
        <v>65</v>
      </c>
      <c r="C94" s="196"/>
      <c r="D94" s="196"/>
      <c r="E94" s="318">
        <v>0</v>
      </c>
      <c r="F94" s="318">
        <v>0</v>
      </c>
      <c r="G94" s="318">
        <v>0</v>
      </c>
      <c r="H94" s="318">
        <v>0</v>
      </c>
      <c r="I94" s="318">
        <v>0</v>
      </c>
    </row>
    <row r="95" spans="1:21">
      <c r="B95" s="317" t="s">
        <v>66</v>
      </c>
      <c r="C95" s="196"/>
      <c r="D95" s="196"/>
      <c r="E95" s="318">
        <v>0</v>
      </c>
      <c r="F95" s="318">
        <v>0</v>
      </c>
      <c r="G95" s="318">
        <v>0</v>
      </c>
      <c r="H95" s="318">
        <v>0</v>
      </c>
      <c r="I95" s="318">
        <v>0</v>
      </c>
    </row>
    <row r="96" spans="1:21">
      <c r="B96" s="317" t="s">
        <v>67</v>
      </c>
      <c r="C96" s="196"/>
      <c r="D96" s="196"/>
      <c r="E96" s="318">
        <v>0</v>
      </c>
      <c r="F96" s="318">
        <v>0</v>
      </c>
      <c r="G96" s="318">
        <v>0</v>
      </c>
      <c r="H96" s="318">
        <v>0</v>
      </c>
      <c r="I96" s="318">
        <v>0</v>
      </c>
    </row>
    <row r="97" spans="2:9">
      <c r="B97" s="317" t="s">
        <v>68</v>
      </c>
      <c r="C97" s="196"/>
      <c r="D97" s="196"/>
      <c r="E97" s="318">
        <v>0</v>
      </c>
      <c r="F97" s="318">
        <v>0</v>
      </c>
      <c r="G97" s="318">
        <v>0</v>
      </c>
      <c r="H97" s="318">
        <v>0</v>
      </c>
      <c r="I97" s="318">
        <v>0</v>
      </c>
    </row>
    <row r="98" spans="2:9">
      <c r="B98" s="317" t="s">
        <v>69</v>
      </c>
      <c r="C98" s="196"/>
      <c r="D98" s="196"/>
      <c r="E98" s="318">
        <v>0</v>
      </c>
      <c r="F98" s="318">
        <v>0</v>
      </c>
      <c r="G98" s="318">
        <v>0</v>
      </c>
      <c r="H98" s="318">
        <v>0</v>
      </c>
      <c r="I98" s="318">
        <v>0</v>
      </c>
    </row>
    <row r="99" spans="2:9">
      <c r="B99" s="317" t="s">
        <v>70</v>
      </c>
      <c r="C99" s="196"/>
      <c r="D99" s="196"/>
      <c r="E99" s="318">
        <v>0</v>
      </c>
      <c r="F99" s="318">
        <v>0</v>
      </c>
      <c r="G99" s="318">
        <v>0</v>
      </c>
      <c r="H99" s="318">
        <v>0</v>
      </c>
      <c r="I99" s="318">
        <v>0</v>
      </c>
    </row>
    <row r="100" spans="2:9">
      <c r="B100" s="317" t="s">
        <v>71</v>
      </c>
      <c r="C100" s="196"/>
      <c r="D100" s="196"/>
      <c r="E100" s="318">
        <v>0</v>
      </c>
      <c r="F100" s="318">
        <v>0</v>
      </c>
      <c r="G100" s="318">
        <v>0</v>
      </c>
      <c r="H100" s="318">
        <v>0</v>
      </c>
      <c r="I100" s="318">
        <v>0</v>
      </c>
    </row>
    <row r="101" spans="2:9">
      <c r="B101" s="317" t="s">
        <v>72</v>
      </c>
      <c r="C101" s="196"/>
      <c r="D101" s="196"/>
      <c r="E101" s="318">
        <v>0</v>
      </c>
      <c r="F101" s="318">
        <v>0</v>
      </c>
      <c r="G101" s="318">
        <v>0</v>
      </c>
      <c r="H101" s="318">
        <v>0</v>
      </c>
      <c r="I101" s="318">
        <v>0</v>
      </c>
    </row>
    <row r="102" spans="2:9">
      <c r="B102" s="317" t="s">
        <v>73</v>
      </c>
      <c r="C102" s="196"/>
      <c r="D102" s="196"/>
      <c r="E102" s="318">
        <v>0</v>
      </c>
      <c r="F102" s="318">
        <v>0</v>
      </c>
      <c r="G102" s="318">
        <v>0</v>
      </c>
      <c r="H102" s="318">
        <v>0</v>
      </c>
      <c r="I102" s="318">
        <v>0</v>
      </c>
    </row>
    <row r="103" spans="2:9">
      <c r="B103" s="317" t="s">
        <v>74</v>
      </c>
      <c r="C103" s="196"/>
      <c r="D103" s="196"/>
      <c r="E103" s="318">
        <v>0</v>
      </c>
      <c r="F103" s="318">
        <v>0</v>
      </c>
      <c r="G103" s="318">
        <v>0</v>
      </c>
      <c r="H103" s="318">
        <v>0</v>
      </c>
      <c r="I103" s="318">
        <v>0</v>
      </c>
    </row>
    <row r="104" spans="2:9">
      <c r="B104" s="317" t="s">
        <v>75</v>
      </c>
      <c r="C104" s="319">
        <v>3.6510479549499562E-2</v>
      </c>
      <c r="D104" s="319">
        <v>3.6510479549499562E-2</v>
      </c>
      <c r="E104" s="319">
        <v>3.6510479549499562E-2</v>
      </c>
      <c r="F104" s="319">
        <v>3.6510479549499562E-2</v>
      </c>
      <c r="G104" s="319">
        <v>3.6510479549499562E-2</v>
      </c>
      <c r="H104" s="196"/>
      <c r="I104" s="196"/>
    </row>
    <row r="105" spans="2:9">
      <c r="B105" s="317" t="s">
        <v>76</v>
      </c>
      <c r="C105" s="319">
        <v>2.7462875901387192E-2</v>
      </c>
      <c r="D105" s="319">
        <v>2.7462875901387192E-2</v>
      </c>
      <c r="E105" s="319">
        <v>2.7462875901387192E-2</v>
      </c>
      <c r="F105" s="319">
        <v>2.7462875901387192E-2</v>
      </c>
      <c r="G105" s="319">
        <v>2.7462875901387192E-2</v>
      </c>
      <c r="H105" s="196"/>
      <c r="I105" s="196"/>
    </row>
    <row r="106" spans="2:9">
      <c r="B106" s="317" t="s">
        <v>77</v>
      </c>
      <c r="C106" s="319">
        <v>1.7082326729376533E-2</v>
      </c>
      <c r="D106" s="319">
        <v>1.7082326729376533E-2</v>
      </c>
      <c r="E106" s="319">
        <v>1.7082326729376533E-2</v>
      </c>
      <c r="F106" s="319">
        <v>1.7082326729376533E-2</v>
      </c>
      <c r="G106" s="319">
        <v>1.7082326729376533E-2</v>
      </c>
      <c r="H106" s="196"/>
      <c r="I106" s="196"/>
    </row>
    <row r="107" spans="2:9">
      <c r="B107" s="317" t="s">
        <v>78</v>
      </c>
      <c r="C107" s="319">
        <v>2.5713646682447938E-2</v>
      </c>
      <c r="D107" s="319">
        <v>2.5713646682447938E-2</v>
      </c>
      <c r="E107" s="319">
        <v>2.5713646682447938E-2</v>
      </c>
      <c r="F107" s="319">
        <v>2.5713646682447938E-2</v>
      </c>
      <c r="G107" s="319">
        <v>2.5713646682447938E-2</v>
      </c>
      <c r="H107" s="196"/>
      <c r="I107" s="196"/>
    </row>
    <row r="108" spans="2:9">
      <c r="B108" s="317" t="s">
        <v>79</v>
      </c>
      <c r="C108" s="319">
        <v>0.4206045538022069</v>
      </c>
      <c r="D108" s="319">
        <v>0.4206045538022069</v>
      </c>
      <c r="E108" s="319">
        <v>0.4206045538022069</v>
      </c>
      <c r="F108" s="319">
        <v>0.4206045538022069</v>
      </c>
      <c r="G108" s="319">
        <v>0.4206045538022069</v>
      </c>
      <c r="H108" s="196"/>
      <c r="I108" s="196"/>
    </row>
    <row r="109" spans="2:9">
      <c r="B109" s="317" t="s">
        <v>80</v>
      </c>
      <c r="C109" s="318">
        <v>0</v>
      </c>
      <c r="D109" s="318">
        <v>0</v>
      </c>
      <c r="E109" s="318">
        <v>0</v>
      </c>
      <c r="F109" s="318">
        <v>0</v>
      </c>
      <c r="G109" s="318">
        <v>0</v>
      </c>
      <c r="H109" s="196"/>
      <c r="I109" s="196"/>
    </row>
    <row r="110" spans="2:9">
      <c r="B110" s="317" t="s">
        <v>81</v>
      </c>
      <c r="C110" s="318">
        <v>0</v>
      </c>
      <c r="D110" s="318">
        <v>0</v>
      </c>
      <c r="E110" s="318">
        <v>0</v>
      </c>
      <c r="F110" s="318">
        <v>0</v>
      </c>
      <c r="G110" s="318">
        <v>0</v>
      </c>
      <c r="H110" s="196"/>
      <c r="I110" s="196"/>
    </row>
    <row r="111" spans="2:9">
      <c r="B111" s="317" t="s">
        <v>82</v>
      </c>
      <c r="C111" s="318">
        <v>0</v>
      </c>
      <c r="D111" s="318">
        <v>0</v>
      </c>
      <c r="E111" s="318">
        <v>0</v>
      </c>
      <c r="F111" s="318">
        <v>0</v>
      </c>
      <c r="G111" s="318">
        <v>0</v>
      </c>
      <c r="H111" s="196"/>
      <c r="I111" s="196"/>
    </row>
    <row r="112" spans="2:9">
      <c r="B112" s="317" t="s">
        <v>83</v>
      </c>
      <c r="C112" s="320">
        <v>-4.3390000000000004</v>
      </c>
      <c r="D112" s="320">
        <v>-4.3390000000000004</v>
      </c>
      <c r="E112" s="320">
        <v>-4.3390000000000004</v>
      </c>
      <c r="F112" s="320">
        <v>-4.3390000000000004</v>
      </c>
      <c r="G112" s="320">
        <v>-4.3390000000000004</v>
      </c>
      <c r="H112" s="196"/>
      <c r="I112" s="196"/>
    </row>
    <row r="113" spans="1:14">
      <c r="B113" s="317" t="s">
        <v>84</v>
      </c>
      <c r="C113" s="318">
        <v>0</v>
      </c>
      <c r="D113" s="318">
        <v>0</v>
      </c>
      <c r="E113" s="318">
        <v>0</v>
      </c>
      <c r="F113" s="318">
        <v>0</v>
      </c>
      <c r="G113" s="318">
        <v>0</v>
      </c>
      <c r="H113" s="196"/>
      <c r="I113" s="196"/>
    </row>
    <row r="114" spans="1:14">
      <c r="B114" s="317" t="s">
        <v>4</v>
      </c>
      <c r="C114" s="320">
        <v>-4.3390000000000004</v>
      </c>
      <c r="D114" s="320">
        <v>-4.3390000000000004</v>
      </c>
      <c r="E114" s="320">
        <v>-4.3390000000000004</v>
      </c>
      <c r="F114" s="320">
        <v>-4.3390000000000004</v>
      </c>
      <c r="G114" s="320">
        <v>-4.3390000000000004</v>
      </c>
      <c r="H114" s="196"/>
      <c r="I114" s="196"/>
    </row>
    <row r="115" spans="1:14">
      <c r="B115" s="317" t="s">
        <v>85</v>
      </c>
      <c r="C115" s="323">
        <v>-13</v>
      </c>
      <c r="D115" s="323">
        <v>-13</v>
      </c>
      <c r="E115" s="323">
        <v>-13</v>
      </c>
      <c r="F115" s="323">
        <v>-13</v>
      </c>
      <c r="G115" s="323">
        <v>-13</v>
      </c>
      <c r="H115" s="196"/>
      <c r="I115" s="196"/>
    </row>
    <row r="116" spans="1:14">
      <c r="B116" s="317" t="s">
        <v>28</v>
      </c>
      <c r="C116" s="318">
        <v>0</v>
      </c>
      <c r="D116" s="318">
        <v>0</v>
      </c>
      <c r="E116" s="318">
        <v>0</v>
      </c>
      <c r="F116" s="318">
        <v>0</v>
      </c>
      <c r="G116" s="318">
        <v>0</v>
      </c>
      <c r="H116" s="196"/>
      <c r="I116" s="196"/>
    </row>
    <row r="117" spans="1:14">
      <c r="B117" s="317" t="s">
        <v>86</v>
      </c>
      <c r="C117" s="319">
        <v>1</v>
      </c>
      <c r="D117" s="319">
        <v>1</v>
      </c>
      <c r="E117" s="319">
        <v>1</v>
      </c>
      <c r="F117" s="319">
        <v>1</v>
      </c>
      <c r="G117" s="319">
        <v>1</v>
      </c>
      <c r="H117" s="196"/>
      <c r="I117" s="196"/>
    </row>
    <row r="118" spans="1:14">
      <c r="B118" s="321" t="s">
        <v>44</v>
      </c>
      <c r="C118" s="319">
        <v>4.3620000000000001</v>
      </c>
      <c r="D118" s="319">
        <v>4.3620000000000001</v>
      </c>
      <c r="E118" s="322">
        <v>4.3620000000000001</v>
      </c>
      <c r="F118" s="322">
        <v>4.3620000000000001</v>
      </c>
      <c r="G118" s="322">
        <v>4.3620000000000001</v>
      </c>
      <c r="H118" s="196"/>
      <c r="I118" s="196"/>
    </row>
    <row r="119" spans="1:14">
      <c r="B119" s="88"/>
    </row>
    <row r="120" spans="1:14">
      <c r="B120" s="397" t="str">
        <f>LEFT('RFPR cover'!C8,2)</f>
        <v>ET</v>
      </c>
      <c r="C120" s="566"/>
      <c r="D120" s="566"/>
      <c r="E120" s="566"/>
      <c r="F120" s="566"/>
      <c r="G120" s="566"/>
      <c r="H120" s="566"/>
      <c r="I120" s="566"/>
      <c r="J120" s="566"/>
      <c r="K120" s="566"/>
      <c r="L120" s="398"/>
    </row>
    <row r="121" spans="1:14">
      <c r="A121" s="92"/>
      <c r="B121" s="169" t="s">
        <v>88</v>
      </c>
      <c r="C121" s="170"/>
      <c r="D121" s="170"/>
      <c r="E121" s="170"/>
      <c r="F121" s="168"/>
      <c r="G121" s="168"/>
      <c r="H121" s="168"/>
      <c r="I121" s="168"/>
      <c r="J121" s="168"/>
      <c r="K121" s="168"/>
      <c r="L121" s="168"/>
      <c r="M121" s="168"/>
      <c r="N121" s="168"/>
    </row>
    <row r="122" spans="1:14">
      <c r="A122" s="92"/>
      <c r="B122" s="251"/>
      <c r="C122" s="252"/>
      <c r="D122" s="252"/>
      <c r="E122" s="252"/>
      <c r="F122" s="253"/>
      <c r="G122" s="253"/>
      <c r="H122" s="253"/>
      <c r="I122" s="253"/>
    </row>
    <row r="123" spans="1:14">
      <c r="A123" s="91"/>
      <c r="B123" s="567" t="s">
        <v>89</v>
      </c>
      <c r="C123" s="93"/>
      <c r="D123" s="93"/>
      <c r="E123" s="679" t="b">
        <f>OR((LEFT('RFPR cover'!$C$8,2)=Data!G123),'RFPR cover'!$C$7=Data!G123)</f>
        <v>0</v>
      </c>
      <c r="F123" s="630">
        <f t="shared" ref="F123:F126" si="20">IF(E123,1,0)</f>
        <v>0</v>
      </c>
      <c r="G123" s="680" t="str">
        <f>B132</f>
        <v>ED</v>
      </c>
    </row>
    <row r="124" spans="1:14" ht="16.5" customHeight="1">
      <c r="A124" s="91"/>
      <c r="B124" s="256" t="str">
        <f t="shared" ref="B124:B129" si="21">IF(SUM($F$123:$F$129)=0,"",CHOOSE(MATCH(TRUE,$E$123:$E$129,0),B133,B143,B153,B163,E163,B173,E173)&amp;"")</f>
        <v xml:space="preserve">Energy not supplied ODI </v>
      </c>
      <c r="C124" s="93"/>
      <c r="D124" s="93"/>
      <c r="E124" s="631" t="b">
        <f>OR((LEFT('RFPR cover'!$C$8,2)=Data!G124),'RFPR cover'!$C$7=Data!G124)</f>
        <v>0</v>
      </c>
      <c r="F124" s="632">
        <f t="shared" si="20"/>
        <v>0</v>
      </c>
      <c r="G124" s="633" t="str">
        <f>B142</f>
        <v>GD</v>
      </c>
    </row>
    <row r="125" spans="1:14">
      <c r="A125" s="91"/>
      <c r="B125" s="256" t="str">
        <f t="shared" si="21"/>
        <v xml:space="preserve">Insulation And Interruption Gas emissions ODI </v>
      </c>
      <c r="C125" s="93"/>
      <c r="D125" s="93"/>
      <c r="E125" s="631" t="b">
        <f>OR((LEFT('RFPR cover'!$C$8,2)=Data!G125),'RFPR cover'!$C$7=Data!G125)</f>
        <v>0</v>
      </c>
      <c r="F125" s="632">
        <f t="shared" si="20"/>
        <v>0</v>
      </c>
      <c r="G125" s="634" t="str">
        <f>B152</f>
        <v>NGGT (TO)</v>
      </c>
    </row>
    <row r="126" spans="1:14">
      <c r="A126" s="91"/>
      <c r="B126" s="256" t="str">
        <f t="shared" si="21"/>
        <v xml:space="preserve">Timely Connections ODI </v>
      </c>
      <c r="C126" s="93"/>
      <c r="D126" s="93"/>
      <c r="E126" s="631" t="b">
        <f>OR((LEFT('RFPR cover'!$C$8,2)=Data!G126),'RFPR cover'!$C$7=Data!G126)</f>
        <v>0</v>
      </c>
      <c r="F126" s="632">
        <f t="shared" si="20"/>
        <v>0</v>
      </c>
      <c r="G126" s="634" t="str">
        <f>B162</f>
        <v>NGET (TO)</v>
      </c>
    </row>
    <row r="127" spans="1:14">
      <c r="A127" s="91"/>
      <c r="B127" s="256" t="str">
        <f t="shared" si="21"/>
        <v xml:space="preserve">Quality of connections satisfaction survey ODI </v>
      </c>
      <c r="C127" s="93"/>
      <c r="D127" s="93"/>
      <c r="E127" s="631" t="b">
        <f>OR((LEFT('RFPR cover'!$C$8,2)=Data!G127),'RFPR cover'!$C$7=Data!G127)</f>
        <v>0</v>
      </c>
      <c r="F127" s="632">
        <f t="shared" ref="F127" si="22">IF(E127,1,0)</f>
        <v>0</v>
      </c>
      <c r="G127" s="634" t="s">
        <v>28</v>
      </c>
    </row>
    <row r="128" spans="1:14">
      <c r="A128" s="91"/>
      <c r="B128" s="256" t="str">
        <f t="shared" si="21"/>
        <v>SO-TO Optimisation ODI</v>
      </c>
      <c r="C128" s="93"/>
      <c r="D128" s="93"/>
      <c r="E128" s="631" t="b">
        <f>OR((LEFT('RFPR cover'!$C$8,2)=Data!G128),'RFPR cover'!$C$7=Data!G128)</f>
        <v>1</v>
      </c>
      <c r="F128" s="632">
        <f>IF(E128,1,0)</f>
        <v>1</v>
      </c>
      <c r="G128" s="634" t="str">
        <f>B172</f>
        <v>SPT</v>
      </c>
    </row>
    <row r="129" spans="1:7">
      <c r="A129" s="91"/>
      <c r="B129" s="256" t="str">
        <f t="shared" si="21"/>
        <v xml:space="preserve">Environmental scorecard ODI </v>
      </c>
      <c r="C129" s="93"/>
      <c r="D129" s="93"/>
      <c r="E129" s="635" t="b">
        <f>OR((LEFT('RFPR cover'!$C$8,2)=Data!G129),'RFPR cover'!$C$7=Data!G129)</f>
        <v>0</v>
      </c>
      <c r="F129" s="636">
        <f>IF(E129,1,0)</f>
        <v>0</v>
      </c>
      <c r="G129" s="637" t="s">
        <v>44</v>
      </c>
    </row>
    <row r="130" spans="1:7">
      <c r="A130" s="91"/>
      <c r="B130" s="256" t="str">
        <f>IF(SUM($F$123:$F$129)=0,"",CHOOSE(MATCH(TRUE,$E$123:$E$129,0),B139,B149,B159,B169,B179,E179)&amp;"")</f>
        <v/>
      </c>
      <c r="C130" s="93"/>
      <c r="D130" s="93"/>
    </row>
    <row r="131" spans="1:7">
      <c r="A131" s="91"/>
      <c r="B131" s="93"/>
      <c r="C131" s="93"/>
      <c r="D131" s="93"/>
      <c r="E131" s="32"/>
      <c r="F131" s="254"/>
    </row>
    <row r="132" spans="1:7">
      <c r="A132" s="91"/>
      <c r="B132" s="702" t="s">
        <v>19</v>
      </c>
      <c r="C132" s="703"/>
      <c r="D132" s="93"/>
      <c r="E132" s="93"/>
    </row>
    <row r="133" spans="1:7">
      <c r="A133" s="91"/>
      <c r="B133" s="716" t="s">
        <v>90</v>
      </c>
      <c r="C133" s="717"/>
      <c r="D133" s="93"/>
      <c r="E133" s="93"/>
    </row>
    <row r="134" spans="1:7">
      <c r="A134" s="91"/>
      <c r="B134" s="712" t="s">
        <v>91</v>
      </c>
      <c r="C134" s="713"/>
      <c r="D134" s="93"/>
      <c r="E134" s="93"/>
    </row>
    <row r="135" spans="1:7">
      <c r="A135" s="91"/>
      <c r="B135" s="712" t="s">
        <v>92</v>
      </c>
      <c r="C135" s="713"/>
      <c r="D135" s="93"/>
      <c r="E135" s="93"/>
    </row>
    <row r="136" spans="1:7">
      <c r="A136" s="91"/>
      <c r="B136" s="712" t="s">
        <v>93</v>
      </c>
      <c r="C136" s="713"/>
      <c r="D136" s="93"/>
      <c r="E136" s="93"/>
    </row>
    <row r="137" spans="1:7">
      <c r="A137" s="91"/>
      <c r="B137" s="712" t="s">
        <v>94</v>
      </c>
      <c r="C137" s="713"/>
      <c r="D137" s="93"/>
      <c r="E137" s="93"/>
    </row>
    <row r="138" spans="1:7">
      <c r="A138" s="91"/>
      <c r="B138" s="712"/>
      <c r="C138" s="713"/>
      <c r="D138" s="93"/>
      <c r="E138" s="93"/>
    </row>
    <row r="139" spans="1:7">
      <c r="A139" s="91"/>
      <c r="B139" s="714"/>
      <c r="C139" s="715"/>
      <c r="D139" s="93"/>
      <c r="E139" s="93"/>
    </row>
    <row r="140" spans="1:7">
      <c r="A140" s="91"/>
      <c r="B140" s="93"/>
      <c r="C140" s="93"/>
      <c r="D140" s="93"/>
      <c r="E140" s="93"/>
    </row>
    <row r="141" spans="1:7">
      <c r="A141" s="91"/>
      <c r="B141" s="93"/>
      <c r="C141" s="93"/>
      <c r="D141" s="93"/>
      <c r="E141" s="93"/>
    </row>
    <row r="142" spans="1:7">
      <c r="A142" s="91"/>
      <c r="B142" s="702" t="s">
        <v>25</v>
      </c>
      <c r="C142" s="703"/>
      <c r="D142" s="93"/>
      <c r="E142" s="93"/>
    </row>
    <row r="143" spans="1:7">
      <c r="A143" s="91"/>
      <c r="B143" s="716" t="s">
        <v>95</v>
      </c>
      <c r="C143" s="717"/>
      <c r="E143" s="93"/>
    </row>
    <row r="144" spans="1:7">
      <c r="A144" s="91"/>
      <c r="B144" s="712" t="s">
        <v>96</v>
      </c>
      <c r="C144" s="713"/>
      <c r="D144" s="93"/>
      <c r="E144" s="93"/>
    </row>
    <row r="145" spans="1:9" ht="25.5" customHeight="1">
      <c r="A145" s="91"/>
      <c r="B145" s="712" t="s">
        <v>97</v>
      </c>
      <c r="C145" s="713"/>
      <c r="D145" s="93"/>
      <c r="E145" s="93"/>
    </row>
    <row r="146" spans="1:9" ht="25.5" customHeight="1">
      <c r="A146" s="91"/>
      <c r="B146" s="712" t="s">
        <v>98</v>
      </c>
      <c r="C146" s="713"/>
      <c r="D146" s="93"/>
      <c r="E146" s="93"/>
    </row>
    <row r="147" spans="1:9" ht="14.25" customHeight="1">
      <c r="A147" s="91"/>
      <c r="B147" s="712" t="s">
        <v>99</v>
      </c>
      <c r="C147" s="713"/>
      <c r="D147" s="93"/>
      <c r="E147" s="93"/>
    </row>
    <row r="148" spans="1:9" ht="25.5" customHeight="1">
      <c r="A148" s="91"/>
      <c r="B148" s="712" t="s">
        <v>100</v>
      </c>
      <c r="C148" s="713"/>
      <c r="D148" s="93"/>
      <c r="E148" s="93"/>
    </row>
    <row r="149" spans="1:9">
      <c r="A149" s="91"/>
      <c r="B149" s="714"/>
      <c r="C149" s="715"/>
      <c r="D149" s="93"/>
      <c r="E149" s="93"/>
    </row>
    <row r="150" spans="1:9">
      <c r="A150" s="91"/>
      <c r="B150" s="93"/>
      <c r="C150" s="93"/>
      <c r="D150" s="93"/>
      <c r="E150" s="93"/>
    </row>
    <row r="151" spans="1:9">
      <c r="A151" s="91"/>
      <c r="B151" s="93"/>
      <c r="C151" s="93"/>
      <c r="D151" s="93"/>
      <c r="E151" s="93"/>
    </row>
    <row r="152" spans="1:9">
      <c r="A152" s="91"/>
      <c r="B152" s="695" t="s">
        <v>83</v>
      </c>
      <c r="C152" s="696"/>
      <c r="D152" s="93"/>
      <c r="E152" s="353"/>
      <c r="F152" s="38"/>
      <c r="G152" s="38"/>
      <c r="H152" s="38"/>
      <c r="I152" s="38"/>
    </row>
    <row r="153" spans="1:9">
      <c r="A153" s="91"/>
      <c r="B153" s="716" t="s">
        <v>101</v>
      </c>
      <c r="C153" s="717"/>
      <c r="E153" s="250"/>
      <c r="F153" s="250"/>
      <c r="G153" s="250"/>
      <c r="H153" s="250"/>
      <c r="I153" s="250"/>
    </row>
    <row r="154" spans="1:9">
      <c r="A154" s="91"/>
      <c r="B154" s="712" t="s">
        <v>102</v>
      </c>
      <c r="C154" s="713"/>
      <c r="E154" s="250"/>
      <c r="F154" s="250"/>
      <c r="G154" s="250"/>
      <c r="H154" s="250"/>
      <c r="I154" s="250"/>
    </row>
    <row r="155" spans="1:9">
      <c r="A155" s="91"/>
      <c r="B155" s="712"/>
      <c r="C155" s="713"/>
      <c r="D155" s="93"/>
      <c r="E155" s="250"/>
      <c r="F155" s="250"/>
      <c r="G155" s="250"/>
      <c r="H155" s="250"/>
      <c r="I155" s="250"/>
    </row>
    <row r="156" spans="1:9">
      <c r="A156" s="91"/>
      <c r="B156" s="712"/>
      <c r="C156" s="713"/>
      <c r="D156" s="93"/>
      <c r="E156" s="250"/>
      <c r="F156" s="250"/>
      <c r="G156" s="250"/>
      <c r="H156" s="250"/>
      <c r="I156" s="250"/>
    </row>
    <row r="157" spans="1:9">
      <c r="A157" s="91"/>
      <c r="B157" s="712"/>
      <c r="C157" s="713"/>
      <c r="D157" s="93"/>
      <c r="E157" s="250"/>
      <c r="F157" s="250"/>
      <c r="G157" s="250"/>
      <c r="H157" s="250"/>
      <c r="I157" s="250"/>
    </row>
    <row r="158" spans="1:9">
      <c r="A158" s="91"/>
      <c r="B158" s="712"/>
      <c r="C158" s="713"/>
      <c r="D158" s="93"/>
      <c r="E158" s="250"/>
      <c r="F158" s="250"/>
      <c r="G158" s="250"/>
      <c r="H158" s="250"/>
      <c r="I158" s="250"/>
    </row>
    <row r="159" spans="1:9" ht="12" customHeight="1">
      <c r="A159" s="91"/>
      <c r="B159" s="714"/>
      <c r="C159" s="715"/>
      <c r="D159" s="93"/>
      <c r="E159" s="250"/>
      <c r="F159" s="250"/>
      <c r="G159" s="250"/>
      <c r="H159" s="250"/>
      <c r="I159" s="250"/>
    </row>
    <row r="160" spans="1:9">
      <c r="A160" s="91"/>
      <c r="B160" s="93"/>
      <c r="C160" s="93"/>
      <c r="D160" s="93"/>
      <c r="E160" s="93"/>
    </row>
    <row r="161" spans="1:9">
      <c r="A161" s="91"/>
      <c r="B161" s="93"/>
      <c r="C161" s="93"/>
      <c r="D161" s="93"/>
      <c r="E161" s="93"/>
    </row>
    <row r="162" spans="1:9">
      <c r="A162" s="91"/>
      <c r="B162" s="695" t="s">
        <v>85</v>
      </c>
      <c r="C162" s="696"/>
      <c r="D162" s="93"/>
      <c r="E162" s="695" t="s">
        <v>28</v>
      </c>
      <c r="F162" s="695"/>
      <c r="G162" s="695"/>
      <c r="H162" s="696"/>
      <c r="I162" s="38"/>
    </row>
    <row r="163" spans="1:9" ht="13.5" customHeight="1">
      <c r="A163" s="91"/>
      <c r="B163" s="716" t="s">
        <v>103</v>
      </c>
      <c r="C163" s="717"/>
      <c r="E163" s="702" t="s">
        <v>104</v>
      </c>
      <c r="F163" s="708"/>
      <c r="G163" s="708"/>
      <c r="H163" s="709"/>
      <c r="I163" s="250"/>
    </row>
    <row r="164" spans="1:9" ht="12.75" customHeight="1">
      <c r="A164" s="91"/>
      <c r="B164" s="712" t="s">
        <v>105</v>
      </c>
      <c r="C164" s="713"/>
      <c r="E164" s="710"/>
      <c r="F164" s="710"/>
      <c r="G164" s="710"/>
      <c r="H164" s="711"/>
      <c r="I164" s="250"/>
    </row>
    <row r="165" spans="1:9" ht="13.5" customHeight="1">
      <c r="A165" s="91"/>
      <c r="B165" s="712" t="s">
        <v>106</v>
      </c>
      <c r="C165" s="713"/>
      <c r="E165" s="693"/>
      <c r="F165" s="693"/>
      <c r="G165" s="693"/>
      <c r="H165" s="694"/>
      <c r="I165" s="250"/>
    </row>
    <row r="166" spans="1:9" ht="12.75" customHeight="1">
      <c r="A166" s="91"/>
      <c r="B166" s="712" t="s">
        <v>107</v>
      </c>
      <c r="C166" s="713"/>
      <c r="E166" s="693"/>
      <c r="F166" s="693"/>
      <c r="G166" s="693"/>
      <c r="H166" s="694"/>
      <c r="I166" s="250"/>
    </row>
    <row r="167" spans="1:9" ht="13.5" customHeight="1">
      <c r="A167" s="91"/>
      <c r="B167" s="712" t="s">
        <v>108</v>
      </c>
      <c r="C167" s="713"/>
      <c r="E167" s="693"/>
      <c r="F167" s="693"/>
      <c r="G167" s="693"/>
      <c r="H167" s="694"/>
      <c r="I167" s="250"/>
    </row>
    <row r="168" spans="1:9" ht="13.5" customHeight="1">
      <c r="A168" s="91"/>
      <c r="B168" s="712" t="s">
        <v>109</v>
      </c>
      <c r="C168" s="713"/>
      <c r="E168" s="693"/>
      <c r="F168" s="693"/>
      <c r="G168" s="693"/>
      <c r="H168" s="694"/>
      <c r="I168" s="250"/>
    </row>
    <row r="169" spans="1:9">
      <c r="A169" s="91"/>
      <c r="B169" s="714"/>
      <c r="C169" s="715"/>
      <c r="D169" s="93"/>
      <c r="E169" s="707"/>
      <c r="F169" s="707"/>
      <c r="G169" s="250"/>
      <c r="H169" s="250"/>
      <c r="I169" s="250"/>
    </row>
    <row r="170" spans="1:9" ht="12.75" customHeight="1">
      <c r="A170" s="91"/>
      <c r="B170" s="91"/>
      <c r="C170" s="91"/>
      <c r="D170" s="93"/>
      <c r="E170" s="250"/>
      <c r="F170" s="250"/>
      <c r="G170" s="250"/>
      <c r="H170" s="250"/>
      <c r="I170" s="250"/>
    </row>
    <row r="171" spans="1:9" ht="12.75" customHeight="1">
      <c r="A171" s="91"/>
      <c r="B171" s="91"/>
      <c r="C171" s="91"/>
      <c r="D171" s="93"/>
      <c r="E171" s="250"/>
      <c r="F171" s="250"/>
      <c r="G171" s="250"/>
      <c r="H171" s="250"/>
      <c r="I171" s="250"/>
    </row>
    <row r="172" spans="1:9" ht="12.75" customHeight="1">
      <c r="A172" s="91"/>
      <c r="B172" s="695" t="s">
        <v>86</v>
      </c>
      <c r="C172" s="696"/>
      <c r="D172" s="93"/>
      <c r="E172" s="695" t="s">
        <v>44</v>
      </c>
      <c r="F172" s="695"/>
      <c r="G172" s="695"/>
      <c r="H172" s="696"/>
      <c r="I172" s="356"/>
    </row>
    <row r="173" spans="1:9" ht="12.75" customHeight="1">
      <c r="A173" s="91"/>
      <c r="B173" s="704" t="s">
        <v>103</v>
      </c>
      <c r="C173" s="705"/>
      <c r="E173" s="693" t="s">
        <v>103</v>
      </c>
      <c r="F173" s="693"/>
      <c r="G173" s="693"/>
      <c r="H173" s="694"/>
      <c r="I173" s="250"/>
    </row>
    <row r="174" spans="1:9" ht="12.75" customHeight="1">
      <c r="A174" s="91"/>
      <c r="B174" s="693" t="s">
        <v>105</v>
      </c>
      <c r="C174" s="694"/>
      <c r="E174" s="693" t="s">
        <v>105</v>
      </c>
      <c r="F174" s="693"/>
      <c r="G174" s="693"/>
      <c r="H174" s="694"/>
      <c r="I174" s="250"/>
    </row>
    <row r="175" spans="1:9" ht="12.75" customHeight="1">
      <c r="A175" s="91"/>
      <c r="B175" s="693" t="s">
        <v>106</v>
      </c>
      <c r="C175" s="694"/>
      <c r="E175" s="693" t="s">
        <v>106</v>
      </c>
      <c r="F175" s="693"/>
      <c r="G175" s="693"/>
      <c r="H175" s="694"/>
      <c r="I175" s="250"/>
    </row>
    <row r="176" spans="1:9" ht="12.75" customHeight="1">
      <c r="A176" s="91"/>
      <c r="B176" s="693" t="s">
        <v>107</v>
      </c>
      <c r="C176" s="694"/>
      <c r="E176" s="693" t="s">
        <v>107</v>
      </c>
      <c r="F176" s="693"/>
      <c r="G176" s="693"/>
      <c r="H176" s="694"/>
      <c r="I176" s="250"/>
    </row>
    <row r="177" spans="1:13" ht="12.75" customHeight="1">
      <c r="A177" s="91"/>
      <c r="B177" s="693" t="s">
        <v>108</v>
      </c>
      <c r="C177" s="694"/>
      <c r="E177" s="693" t="s">
        <v>108</v>
      </c>
      <c r="F177" s="693"/>
      <c r="G177" s="693"/>
      <c r="H177" s="694"/>
      <c r="I177" s="250"/>
    </row>
    <row r="178" spans="1:13" ht="12.75" customHeight="1">
      <c r="A178" s="91"/>
      <c r="B178" s="693" t="s">
        <v>109</v>
      </c>
      <c r="C178" s="694"/>
      <c r="E178" s="693" t="s">
        <v>109</v>
      </c>
      <c r="F178" s="693"/>
      <c r="G178" s="693"/>
      <c r="H178" s="694"/>
      <c r="I178" s="250"/>
    </row>
    <row r="179" spans="1:13">
      <c r="A179" s="91"/>
      <c r="B179" s="697"/>
      <c r="C179" s="698"/>
      <c r="D179" s="93"/>
      <c r="E179" s="697"/>
      <c r="F179" s="697"/>
      <c r="G179" s="697"/>
      <c r="H179" s="698"/>
      <c r="I179" s="250"/>
    </row>
    <row r="180" spans="1:13" ht="12.4" customHeight="1">
      <c r="A180" s="91"/>
      <c r="D180" s="93"/>
      <c r="E180" s="93"/>
    </row>
    <row r="181" spans="1:13" ht="12.4" customHeight="1">
      <c r="A181" s="91"/>
      <c r="B181" s="169" t="s">
        <v>110</v>
      </c>
      <c r="C181" s="170"/>
      <c r="D181" s="170"/>
      <c r="E181" s="170"/>
      <c r="F181" s="168"/>
      <c r="G181" s="168"/>
      <c r="H181" s="168"/>
      <c r="I181" s="168"/>
      <c r="J181" s="168"/>
      <c r="K181" s="168"/>
      <c r="L181" s="168"/>
      <c r="M181" s="168"/>
    </row>
    <row r="182" spans="1:13" ht="12.4" customHeight="1">
      <c r="A182" s="91"/>
      <c r="B182" s="251"/>
      <c r="C182" s="252"/>
      <c r="D182" s="252"/>
      <c r="E182" s="252"/>
      <c r="F182" s="253"/>
      <c r="G182" s="253"/>
      <c r="H182" s="253"/>
      <c r="I182" s="253"/>
    </row>
    <row r="183" spans="1:13" ht="12.4" customHeight="1">
      <c r="A183" s="91"/>
      <c r="B183" s="567" t="s">
        <v>111</v>
      </c>
      <c r="C183" s="93"/>
      <c r="D183" s="93"/>
      <c r="E183" s="679" t="b">
        <f>OR((LEFT('RFPR cover'!$C$8,2)=Data!F183),'RFPR cover'!$C$7=Data!F183)</f>
        <v>0</v>
      </c>
      <c r="F183" s="680" t="str">
        <f>B194</f>
        <v>ED</v>
      </c>
    </row>
    <row r="184" spans="1:13" ht="19.5" customHeight="1">
      <c r="A184" s="91"/>
      <c r="B184" s="256" t="str">
        <f>CHOOSE(MATCH(TRUE,$E$183:$E$191,0),B195,B206,B217,E217,B228,E228,B239,E239,B250)&amp;""</f>
        <v xml:space="preserve">RIIO-2 network innovation allowance </v>
      </c>
      <c r="C184" s="93"/>
      <c r="D184" s="93"/>
      <c r="E184" s="631" t="b">
        <f>OR((LEFT('RFPR cover'!$C$8,2)=Data!F184),'RFPR cover'!$C$7=Data!F184)</f>
        <v>0</v>
      </c>
      <c r="F184" s="633" t="str">
        <f>B205</f>
        <v>GD</v>
      </c>
    </row>
    <row r="185" spans="1:13" ht="22.5" customHeight="1">
      <c r="A185" s="91"/>
      <c r="B185" s="256" t="str">
        <f t="shared" ref="B185:B191" si="23">CHOOSE(MATCH(TRUE,$E$183:$E$191,0),B196,B207,B218,E218,B229,E229,B240,E240,B251)&amp;""</f>
        <v xml:space="preserve">Carry-over Network Innovation Allowance </v>
      </c>
      <c r="C185" s="93"/>
      <c r="D185" s="93"/>
      <c r="E185" s="631" t="b">
        <f>OR((LEFT('RFPR cover'!$C$8,2)=Data!F185),'RFPR cover'!$C$7=Data!F185)</f>
        <v>0</v>
      </c>
      <c r="F185" s="634" t="str">
        <f>B216</f>
        <v>NGGT (TO)</v>
      </c>
    </row>
    <row r="186" spans="1:13" ht="19.5" customHeight="1">
      <c r="A186" s="91"/>
      <c r="B186" s="256" t="str">
        <f t="shared" si="23"/>
        <v/>
      </c>
      <c r="C186" s="93"/>
      <c r="D186" s="93"/>
      <c r="E186" s="631" t="b">
        <f>OR((LEFT('RFPR cover'!$C$8,2)=Data!F186),'RFPR cover'!$C$7=Data!F186)</f>
        <v>0</v>
      </c>
      <c r="F186" s="634" t="str">
        <f>E216</f>
        <v>NGGT (SO)</v>
      </c>
    </row>
    <row r="187" spans="1:13" ht="19.5" customHeight="1">
      <c r="A187" s="91"/>
      <c r="B187" s="256" t="str">
        <f t="shared" si="23"/>
        <v/>
      </c>
      <c r="C187" s="93"/>
      <c r="D187" s="93"/>
      <c r="E187" s="631" t="b">
        <f>OR((LEFT('RFPR cover'!$C$8,2)=Data!F187),'RFPR cover'!$C$7=Data!F187)</f>
        <v>0</v>
      </c>
      <c r="F187" s="634" t="str">
        <f>B227</f>
        <v>NGGT (TO+SO)</v>
      </c>
    </row>
    <row r="188" spans="1:13" ht="19.5" customHeight="1">
      <c r="A188" s="91"/>
      <c r="B188" s="256" t="str">
        <f t="shared" si="23"/>
        <v/>
      </c>
      <c r="C188" s="93"/>
      <c r="D188" s="93"/>
      <c r="E188" s="631" t="b">
        <f>OR((LEFT('RFPR cover'!$C$8,2)=Data!F188),'RFPR cover'!$C$7=Data!F188)</f>
        <v>0</v>
      </c>
      <c r="F188" s="634" t="str">
        <f>E227</f>
        <v>NGET (TO)</v>
      </c>
    </row>
    <row r="189" spans="1:13" ht="19.5" customHeight="1">
      <c r="A189" s="91"/>
      <c r="B189" s="256" t="str">
        <f t="shared" si="23"/>
        <v/>
      </c>
      <c r="C189" s="93"/>
      <c r="D189" s="93"/>
      <c r="E189" s="631" t="b">
        <f>OR((LEFT('RFPR cover'!$C$8,2)=Data!F189),'RFPR cover'!$C$7=Data!F189)</f>
        <v>0</v>
      </c>
      <c r="F189" s="634" t="str">
        <f>B238</f>
        <v>ESO</v>
      </c>
    </row>
    <row r="190" spans="1:13" ht="19.5" customHeight="1">
      <c r="A190" s="91"/>
      <c r="B190" s="256" t="str">
        <f t="shared" si="23"/>
        <v/>
      </c>
      <c r="C190" s="93"/>
      <c r="D190" s="93"/>
      <c r="E190" s="631" t="b">
        <f>OR((LEFT('RFPR cover'!$C$8,2)=Data!F190),'RFPR cover'!$C$7=Data!F190)</f>
        <v>1</v>
      </c>
      <c r="F190" s="634" t="str">
        <f>E238</f>
        <v>SPT</v>
      </c>
    </row>
    <row r="191" spans="1:13" ht="19.5" customHeight="1">
      <c r="A191" s="91"/>
      <c r="B191" s="256" t="str">
        <f t="shared" si="23"/>
        <v/>
      </c>
      <c r="C191" s="93"/>
      <c r="D191" s="93"/>
      <c r="E191" s="635" t="b">
        <f>OR((LEFT('RFPR cover'!$C$8,2)=Data!F191),'RFPR cover'!$C$7=Data!F191)</f>
        <v>0</v>
      </c>
      <c r="F191" s="637" t="str">
        <f>B249</f>
        <v>SHET</v>
      </c>
      <c r="G191" s="93"/>
      <c r="H191" s="93"/>
      <c r="I191" s="93"/>
    </row>
    <row r="192" spans="1:13" ht="12.75" customHeight="1">
      <c r="A192" s="91"/>
      <c r="B192" s="93"/>
      <c r="C192" s="93"/>
      <c r="D192" s="93"/>
      <c r="E192" s="32"/>
      <c r="F192" s="254"/>
    </row>
    <row r="193" spans="1:6" ht="12.75" customHeight="1">
      <c r="A193" s="91"/>
      <c r="B193" s="354"/>
      <c r="C193" s="354"/>
      <c r="D193" s="93"/>
      <c r="E193" s="32"/>
      <c r="F193" s="254"/>
    </row>
    <row r="194" spans="1:6" ht="12.75" customHeight="1">
      <c r="A194" s="91"/>
      <c r="B194" s="721" t="s">
        <v>19</v>
      </c>
      <c r="C194" s="722"/>
      <c r="D194" s="93"/>
      <c r="E194" s="93"/>
    </row>
    <row r="195" spans="1:6" ht="12.75" customHeight="1">
      <c r="A195" s="91"/>
      <c r="B195" s="704"/>
      <c r="C195" s="705"/>
      <c r="D195" s="93"/>
      <c r="E195" s="93"/>
    </row>
    <row r="196" spans="1:6" ht="12.75" customHeight="1">
      <c r="A196" s="91"/>
      <c r="B196" s="693"/>
      <c r="C196" s="694"/>
      <c r="D196" s="93"/>
      <c r="E196" s="93"/>
    </row>
    <row r="197" spans="1:6" ht="12.75" customHeight="1">
      <c r="A197" s="91"/>
      <c r="B197" s="693"/>
      <c r="C197" s="694"/>
      <c r="D197" s="93"/>
      <c r="E197" s="93"/>
    </row>
    <row r="198" spans="1:6" ht="12.75" customHeight="1">
      <c r="A198" s="91"/>
      <c r="B198" s="693"/>
      <c r="C198" s="694"/>
      <c r="D198" s="93"/>
      <c r="E198" s="93"/>
    </row>
    <row r="199" spans="1:6" ht="12.75" customHeight="1">
      <c r="A199" s="91"/>
      <c r="B199" s="693"/>
      <c r="C199" s="694"/>
      <c r="D199" s="93"/>
      <c r="E199" s="93"/>
    </row>
    <row r="200" spans="1:6" ht="12.75" customHeight="1">
      <c r="A200" s="91"/>
      <c r="B200" s="693"/>
      <c r="C200" s="694"/>
      <c r="D200" s="93"/>
      <c r="E200" s="93"/>
    </row>
    <row r="201" spans="1:6">
      <c r="A201" s="91"/>
      <c r="B201" s="693"/>
      <c r="C201" s="694"/>
      <c r="D201" s="93"/>
      <c r="E201" s="93"/>
    </row>
    <row r="202" spans="1:6" ht="12.75" customHeight="1">
      <c r="A202" s="91"/>
      <c r="B202" s="697"/>
      <c r="C202" s="698"/>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702" t="s">
        <v>25</v>
      </c>
      <c r="C205" s="703"/>
      <c r="D205" s="93"/>
      <c r="E205" s="93"/>
    </row>
    <row r="206" spans="1:6" ht="12.75" customHeight="1">
      <c r="A206" s="91"/>
      <c r="B206" s="704" t="s">
        <v>112</v>
      </c>
      <c r="C206" s="705"/>
      <c r="E206" s="93"/>
    </row>
    <row r="207" spans="1:6" ht="12.75" customHeight="1">
      <c r="A207" s="91"/>
      <c r="B207" s="693" t="s">
        <v>113</v>
      </c>
      <c r="C207" s="694"/>
      <c r="D207" s="93"/>
      <c r="E207" s="93"/>
    </row>
    <row r="208" spans="1:6" ht="12.75" customHeight="1">
      <c r="A208" s="91"/>
      <c r="B208" s="693"/>
      <c r="C208" s="694"/>
      <c r="D208" s="93"/>
      <c r="E208" s="93"/>
    </row>
    <row r="209" spans="1:9" ht="12.75" customHeight="1">
      <c r="A209" s="91"/>
      <c r="B209" s="693"/>
      <c r="C209" s="694"/>
      <c r="D209" s="93"/>
      <c r="E209" s="93"/>
    </row>
    <row r="210" spans="1:9">
      <c r="A210" s="91"/>
      <c r="B210" s="693"/>
      <c r="C210" s="694"/>
      <c r="D210" s="93"/>
      <c r="E210" s="93"/>
    </row>
    <row r="211" spans="1:9">
      <c r="A211" s="91"/>
      <c r="B211" s="693"/>
      <c r="C211" s="694"/>
      <c r="D211" s="93"/>
      <c r="E211" s="93"/>
    </row>
    <row r="212" spans="1:9" ht="12.75" customHeight="1">
      <c r="A212" s="91"/>
      <c r="B212" s="693"/>
      <c r="C212" s="694"/>
      <c r="D212" s="93"/>
      <c r="E212" s="93"/>
    </row>
    <row r="213" spans="1:9">
      <c r="A213" s="91"/>
      <c r="B213" s="697"/>
      <c r="C213" s="698"/>
      <c r="D213" s="93"/>
      <c r="E213" s="93"/>
    </row>
    <row r="214" spans="1:9">
      <c r="A214" s="91"/>
      <c r="B214" s="93"/>
      <c r="C214" s="93"/>
      <c r="D214" s="93"/>
      <c r="E214" s="93"/>
    </row>
    <row r="215" spans="1:9">
      <c r="A215" s="91"/>
      <c r="B215" s="93"/>
      <c r="C215" s="93"/>
      <c r="D215" s="93"/>
      <c r="E215" s="93"/>
    </row>
    <row r="216" spans="1:9">
      <c r="A216" s="91"/>
      <c r="B216" s="466" t="str">
        <f>B77</f>
        <v>NGGT (TO)</v>
      </c>
      <c r="C216" s="426"/>
      <c r="D216" s="93"/>
      <c r="E216" s="695" t="str">
        <f>B78</f>
        <v>NGGT (SO)</v>
      </c>
      <c r="F216" s="695"/>
      <c r="G216" s="695"/>
      <c r="H216" s="695"/>
      <c r="I216" s="696"/>
    </row>
    <row r="217" spans="1:9">
      <c r="A217" s="91"/>
      <c r="B217" s="704" t="s">
        <v>114</v>
      </c>
      <c r="C217" s="705"/>
      <c r="E217" s="723"/>
      <c r="F217" s="724"/>
      <c r="G217" s="724"/>
      <c r="H217" s="724"/>
      <c r="I217" s="725"/>
    </row>
    <row r="218" spans="1:9" ht="25.5" customHeight="1">
      <c r="A218" s="91"/>
      <c r="B218" s="693" t="s">
        <v>115</v>
      </c>
      <c r="C218" s="694"/>
      <c r="E218" s="723"/>
      <c r="F218" s="724"/>
      <c r="G218" s="724"/>
      <c r="H218" s="724"/>
      <c r="I218" s="725"/>
    </row>
    <row r="219" spans="1:9" ht="13.5" customHeight="1">
      <c r="A219" s="91"/>
      <c r="B219" s="693" t="s">
        <v>116</v>
      </c>
      <c r="C219" s="694"/>
      <c r="D219" s="93"/>
      <c r="E219" s="723"/>
      <c r="F219" s="724"/>
      <c r="G219" s="724"/>
      <c r="H219" s="724"/>
      <c r="I219" s="725"/>
    </row>
    <row r="220" spans="1:9" ht="13.5" customHeight="1">
      <c r="A220" s="91"/>
      <c r="B220" s="693"/>
      <c r="C220" s="694"/>
      <c r="D220" s="93"/>
      <c r="E220" s="699" t="s">
        <v>117</v>
      </c>
      <c r="F220" s="700"/>
      <c r="G220" s="700"/>
      <c r="H220" s="700"/>
      <c r="I220" s="701"/>
    </row>
    <row r="221" spans="1:9" ht="13.5" customHeight="1">
      <c r="A221" s="91"/>
      <c r="B221" s="467"/>
      <c r="C221" s="427"/>
      <c r="D221" s="93"/>
      <c r="E221" s="699" t="s">
        <v>118</v>
      </c>
      <c r="F221" s="700"/>
      <c r="G221" s="700"/>
      <c r="H221" s="700"/>
      <c r="I221" s="701"/>
    </row>
    <row r="222" spans="1:9" ht="13.5" customHeight="1">
      <c r="A222" s="91"/>
      <c r="B222" s="693"/>
      <c r="C222" s="694"/>
      <c r="D222" s="93"/>
      <c r="E222" s="699" t="s">
        <v>119</v>
      </c>
      <c r="F222" s="700"/>
      <c r="G222" s="700"/>
      <c r="H222" s="700"/>
      <c r="I222" s="701"/>
    </row>
    <row r="223" spans="1:9" ht="13.5" customHeight="1">
      <c r="A223" s="91"/>
      <c r="B223" s="693"/>
      <c r="C223" s="694"/>
      <c r="D223" s="93"/>
      <c r="E223" s="726" t="s">
        <v>120</v>
      </c>
      <c r="F223" s="727"/>
      <c r="G223" s="727"/>
      <c r="H223" s="727"/>
      <c r="I223" s="728"/>
    </row>
    <row r="224" spans="1:9" ht="12.75" customHeight="1">
      <c r="A224" s="91"/>
      <c r="B224" s="697"/>
      <c r="C224" s="698"/>
      <c r="D224" s="93"/>
      <c r="E224" s="729" t="s">
        <v>121</v>
      </c>
      <c r="F224" s="730"/>
      <c r="G224" s="730"/>
      <c r="H224" s="730"/>
      <c r="I224" s="731"/>
    </row>
    <row r="225" spans="1:9">
      <c r="A225" s="91"/>
      <c r="B225" s="93"/>
      <c r="C225" s="93"/>
      <c r="D225" s="93"/>
      <c r="E225" s="93"/>
    </row>
    <row r="226" spans="1:9" ht="12.75" customHeight="1">
      <c r="A226" s="91"/>
      <c r="B226" s="93"/>
      <c r="C226" s="93"/>
      <c r="D226" s="93"/>
      <c r="E226" s="93"/>
    </row>
    <row r="227" spans="1:9">
      <c r="A227" s="91"/>
      <c r="B227" s="695" t="s">
        <v>4</v>
      </c>
      <c r="C227" s="696"/>
      <c r="D227" s="93"/>
      <c r="E227" s="695" t="s">
        <v>85</v>
      </c>
      <c r="F227" s="695"/>
      <c r="G227" s="695"/>
      <c r="H227" s="695"/>
      <c r="I227" s="696"/>
    </row>
    <row r="228" spans="1:9" ht="12.75" customHeight="1">
      <c r="A228" s="91"/>
      <c r="B228" s="704" t="s">
        <v>114</v>
      </c>
      <c r="C228" s="705"/>
      <c r="E228" s="704" t="s">
        <v>114</v>
      </c>
      <c r="F228" s="704"/>
      <c r="G228" s="704"/>
      <c r="H228" s="704"/>
      <c r="I228" s="705"/>
    </row>
    <row r="229" spans="1:9" ht="12.75" customHeight="1">
      <c r="A229" s="91"/>
      <c r="B229" s="693" t="s">
        <v>115</v>
      </c>
      <c r="C229" s="694"/>
      <c r="E229" s="693" t="s">
        <v>115</v>
      </c>
      <c r="F229" s="693"/>
      <c r="G229" s="693"/>
      <c r="H229" s="693"/>
      <c r="I229" s="694"/>
    </row>
    <row r="230" spans="1:9" ht="12.75" customHeight="1">
      <c r="A230" s="91"/>
      <c r="B230" s="693" t="s">
        <v>116</v>
      </c>
      <c r="C230" s="694"/>
      <c r="E230" s="693" t="s">
        <v>116</v>
      </c>
      <c r="F230" s="693"/>
      <c r="G230" s="693"/>
      <c r="H230" s="693"/>
      <c r="I230" s="694"/>
    </row>
    <row r="231" spans="1:9" ht="24" customHeight="1">
      <c r="A231" s="91"/>
      <c r="B231" s="693" t="s">
        <v>117</v>
      </c>
      <c r="C231" s="694"/>
      <c r="E231" s="693"/>
      <c r="F231" s="693"/>
      <c r="G231" s="693"/>
      <c r="H231" s="693"/>
      <c r="I231" s="694"/>
    </row>
    <row r="232" spans="1:9">
      <c r="A232" s="91"/>
      <c r="B232" s="693" t="s">
        <v>118</v>
      </c>
      <c r="C232" s="694"/>
      <c r="E232" s="693"/>
      <c r="F232" s="693"/>
      <c r="G232" s="693"/>
      <c r="H232" s="693"/>
      <c r="I232" s="694"/>
    </row>
    <row r="233" spans="1:9">
      <c r="A233" s="91"/>
      <c r="B233" s="693" t="s">
        <v>119</v>
      </c>
      <c r="C233" s="694"/>
      <c r="E233" s="693"/>
      <c r="F233" s="693"/>
      <c r="G233" s="693"/>
      <c r="H233" s="693"/>
      <c r="I233" s="694"/>
    </row>
    <row r="234" spans="1:9" ht="12.75" customHeight="1">
      <c r="A234" s="91"/>
      <c r="B234" s="693" t="s">
        <v>120</v>
      </c>
      <c r="C234" s="694"/>
      <c r="E234" s="693"/>
      <c r="F234" s="693"/>
      <c r="G234" s="693"/>
      <c r="H234" s="693"/>
      <c r="I234" s="694"/>
    </row>
    <row r="235" spans="1:9" ht="12.75" customHeight="1">
      <c r="A235" s="91"/>
      <c r="B235" s="697" t="s">
        <v>121</v>
      </c>
      <c r="C235" s="698"/>
      <c r="D235" s="93"/>
      <c r="E235" s="697"/>
      <c r="F235" s="697"/>
      <c r="G235" s="697"/>
      <c r="H235" s="697"/>
      <c r="I235" s="698"/>
    </row>
    <row r="236" spans="1:9" ht="12.75" customHeight="1">
      <c r="A236" s="91"/>
      <c r="B236" s="91"/>
      <c r="C236" s="91"/>
      <c r="D236" s="93"/>
      <c r="E236" s="250"/>
      <c r="F236" s="250"/>
      <c r="G236" s="250"/>
      <c r="H236" s="250"/>
      <c r="I236" s="250"/>
    </row>
    <row r="237" spans="1:9" ht="12.75" customHeight="1">
      <c r="A237" s="91"/>
      <c r="B237" s="91"/>
      <c r="C237" s="91"/>
      <c r="D237" s="93"/>
      <c r="E237" s="250"/>
      <c r="F237" s="250"/>
      <c r="G237" s="250"/>
      <c r="H237" s="250"/>
      <c r="I237" s="250"/>
    </row>
    <row r="238" spans="1:9" ht="12.75" customHeight="1">
      <c r="A238" s="91"/>
      <c r="B238" s="695" t="s">
        <v>28</v>
      </c>
      <c r="C238" s="696"/>
      <c r="D238" s="93"/>
      <c r="E238" s="695" t="s">
        <v>86</v>
      </c>
      <c r="F238" s="695"/>
      <c r="G238" s="695"/>
      <c r="H238" s="695"/>
      <c r="I238" s="696"/>
    </row>
    <row r="239" spans="1:9" ht="12.75" customHeight="1">
      <c r="A239" s="91"/>
      <c r="B239" s="704" t="s">
        <v>112</v>
      </c>
      <c r="C239" s="705"/>
      <c r="E239" s="704" t="s">
        <v>112</v>
      </c>
      <c r="F239" s="704"/>
      <c r="G239" s="704"/>
      <c r="H239" s="704"/>
      <c r="I239" s="705"/>
    </row>
    <row r="240" spans="1:9" ht="25.5" customHeight="1">
      <c r="A240" s="91"/>
      <c r="B240" s="693" t="s">
        <v>113</v>
      </c>
      <c r="C240" s="694"/>
      <c r="E240" s="693" t="s">
        <v>113</v>
      </c>
      <c r="F240" s="693"/>
      <c r="G240" s="693"/>
      <c r="H240" s="693"/>
      <c r="I240" s="694"/>
    </row>
    <row r="241" spans="1:9" ht="25.5" customHeight="1">
      <c r="A241" s="91"/>
      <c r="B241" s="693"/>
      <c r="C241" s="694"/>
      <c r="E241" s="693"/>
      <c r="F241" s="693"/>
      <c r="G241" s="693"/>
      <c r="H241" s="693"/>
      <c r="I241" s="694"/>
    </row>
    <row r="242" spans="1:9" ht="25.5" customHeight="1">
      <c r="A242" s="91"/>
      <c r="B242" s="693"/>
      <c r="C242" s="694"/>
      <c r="E242" s="693"/>
      <c r="F242" s="693"/>
      <c r="G242" s="693"/>
      <c r="H242" s="693"/>
      <c r="I242" s="694"/>
    </row>
    <row r="243" spans="1:9" ht="25.5" customHeight="1">
      <c r="A243" s="91"/>
      <c r="B243" s="693"/>
      <c r="C243" s="694"/>
      <c r="E243" s="693"/>
      <c r="F243" s="693"/>
      <c r="G243" s="693"/>
      <c r="H243" s="693"/>
      <c r="I243" s="694"/>
    </row>
    <row r="244" spans="1:9" ht="25.5" customHeight="1">
      <c r="A244" s="91"/>
      <c r="B244" s="693"/>
      <c r="C244" s="694"/>
      <c r="E244" s="693"/>
      <c r="F244" s="693"/>
      <c r="G244" s="693"/>
      <c r="H244" s="693"/>
      <c r="I244" s="694"/>
    </row>
    <row r="245" spans="1:9">
      <c r="A245" s="91"/>
      <c r="B245" s="693"/>
      <c r="C245" s="694"/>
      <c r="E245" s="693"/>
      <c r="F245" s="693"/>
      <c r="G245" s="693"/>
      <c r="H245" s="693"/>
      <c r="I245" s="694"/>
    </row>
    <row r="246" spans="1:9">
      <c r="A246" s="91"/>
      <c r="B246" s="697"/>
      <c r="C246" s="698"/>
      <c r="D246" s="93"/>
      <c r="E246" s="697"/>
      <c r="F246" s="697"/>
      <c r="G246" s="697"/>
      <c r="H246" s="697"/>
      <c r="I246" s="698"/>
    </row>
    <row r="247" spans="1:9">
      <c r="A247" s="91"/>
      <c r="D247" s="93"/>
      <c r="E247" s="93"/>
    </row>
    <row r="248" spans="1:9">
      <c r="A248" s="91"/>
      <c r="D248" s="93"/>
      <c r="E248" s="93"/>
    </row>
    <row r="249" spans="1:9">
      <c r="A249" s="91"/>
      <c r="B249" s="695" t="s">
        <v>44</v>
      </c>
      <c r="C249" s="696"/>
      <c r="D249" s="93"/>
      <c r="E249" s="93"/>
    </row>
    <row r="250" spans="1:9">
      <c r="A250" s="91"/>
      <c r="B250" s="693" t="s">
        <v>112</v>
      </c>
      <c r="C250" s="694"/>
      <c r="D250" s="706"/>
      <c r="E250" s="706"/>
    </row>
    <row r="251" spans="1:9">
      <c r="A251" s="91"/>
      <c r="B251" s="693" t="s">
        <v>113</v>
      </c>
      <c r="C251" s="694"/>
      <c r="D251" s="706"/>
      <c r="E251" s="706"/>
    </row>
    <row r="252" spans="1:9">
      <c r="A252" s="91"/>
      <c r="B252" s="693"/>
      <c r="C252" s="694"/>
      <c r="D252" s="93"/>
      <c r="E252" s="93"/>
    </row>
    <row r="253" spans="1:9">
      <c r="A253" s="91"/>
      <c r="B253" s="693"/>
      <c r="C253" s="694"/>
      <c r="D253" s="93"/>
      <c r="E253" s="93"/>
    </row>
    <row r="254" spans="1:9">
      <c r="A254" s="91"/>
      <c r="B254" s="693"/>
      <c r="C254" s="694"/>
      <c r="D254" s="93"/>
      <c r="E254" s="93"/>
    </row>
    <row r="255" spans="1:9">
      <c r="A255" s="91"/>
      <c r="B255" s="693"/>
      <c r="C255" s="694"/>
      <c r="D255" s="93"/>
      <c r="E255" s="93"/>
    </row>
    <row r="256" spans="1:9">
      <c r="A256" s="91"/>
      <c r="B256" s="693"/>
      <c r="C256" s="694"/>
      <c r="D256" s="93"/>
      <c r="E256" s="93"/>
    </row>
    <row r="257" spans="1:5">
      <c r="A257" s="91"/>
      <c r="B257" s="697"/>
      <c r="C257" s="698"/>
      <c r="D257" s="93"/>
      <c r="E257" s="93"/>
    </row>
    <row r="258" spans="1:5">
      <c r="A258" s="91"/>
      <c r="D258" s="93"/>
      <c r="E258" s="93"/>
    </row>
    <row r="259" spans="1:5">
      <c r="A259" s="91"/>
      <c r="D259" s="93"/>
      <c r="E259" s="93"/>
    </row>
    <row r="260" spans="1:5">
      <c r="A260" s="91"/>
      <c r="D260" s="93"/>
      <c r="E260" s="93"/>
    </row>
    <row r="261" spans="1:5">
      <c r="A261" s="91"/>
      <c r="D261" s="93"/>
      <c r="E261" s="93"/>
    </row>
    <row r="262" spans="1:5">
      <c r="A262" s="91"/>
      <c r="D262" s="93"/>
      <c r="E262" s="93"/>
    </row>
    <row r="263" spans="1:5">
      <c r="A263" s="91"/>
      <c r="D263" s="93"/>
      <c r="E263" s="93"/>
    </row>
  </sheetData>
  <mergeCells count="139">
    <mergeCell ref="E246:I246"/>
    <mergeCell ref="B238:C238"/>
    <mergeCell ref="B239:C239"/>
    <mergeCell ref="B240:C240"/>
    <mergeCell ref="B241:C241"/>
    <mergeCell ref="B242:C242"/>
    <mergeCell ref="B243:C243"/>
    <mergeCell ref="B245:C245"/>
    <mergeCell ref="B246:C246"/>
    <mergeCell ref="E239:I239"/>
    <mergeCell ref="E240:I240"/>
    <mergeCell ref="B210:C210"/>
    <mergeCell ref="E238:I238"/>
    <mergeCell ref="E235:I235"/>
    <mergeCell ref="B229:C229"/>
    <mergeCell ref="E217:I217"/>
    <mergeCell ref="E218:I218"/>
    <mergeCell ref="E219:I219"/>
    <mergeCell ref="E216:I216"/>
    <mergeCell ref="B217:C217"/>
    <mergeCell ref="B218:C218"/>
    <mergeCell ref="B219:C219"/>
    <mergeCell ref="B223:C223"/>
    <mergeCell ref="B224:C224"/>
    <mergeCell ref="E220:I220"/>
    <mergeCell ref="E222:I222"/>
    <mergeCell ref="E223:I223"/>
    <mergeCell ref="E224:I224"/>
    <mergeCell ref="E234:I234"/>
    <mergeCell ref="E228:I228"/>
    <mergeCell ref="E229:I229"/>
    <mergeCell ref="E230:I230"/>
    <mergeCell ref="E231:I231"/>
    <mergeCell ref="E232:I232"/>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B174:C174"/>
    <mergeCell ref="B175:C175"/>
    <mergeCell ref="B176:C176"/>
    <mergeCell ref="B178:C178"/>
    <mergeCell ref="B179:C179"/>
    <mergeCell ref="E169:F169"/>
    <mergeCell ref="E163:H163"/>
    <mergeCell ref="E164:H164"/>
    <mergeCell ref="E165:H165"/>
    <mergeCell ref="E166:H166"/>
    <mergeCell ref="E167:H167"/>
    <mergeCell ref="E168:H16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s>
  <conditionalFormatting sqref="H53">
    <cfRule type="expression" dxfId="93" priority="15">
      <formula>AND(#REF!="Actuals",#REF!="Forecast")</formula>
    </cfRule>
  </conditionalFormatting>
  <conditionalFormatting sqref="H54:N54">
    <cfRule type="expression" dxfId="92" priority="14">
      <formula>AND(#REF!="Actuals",#REF!="Forecast")</formula>
    </cfRule>
  </conditionalFormatting>
  <conditionalFormatting sqref="C89:I89">
    <cfRule type="expression" dxfId="91" priority="10">
      <formula>AND(#REF!="Actuals",#REF!="Forecast")</formula>
    </cfRule>
  </conditionalFormatting>
  <conditionalFormatting sqref="O53">
    <cfRule type="expression" dxfId="90" priority="4">
      <formula>AND(#REF!="Actuals",#REF!="Forecast")</formula>
    </cfRule>
  </conditionalFormatting>
  <conditionalFormatting sqref="O54:U54">
    <cfRule type="expression" dxfId="89" priority="3">
      <formula>AND(#REF!="Actuals",#REF!="Forecast")</formula>
    </cfRule>
  </conditionalFormatting>
  <pageMargins left="0.7" right="0.7" top="0.75" bottom="0.75" header="0.3" footer="0.3"/>
  <pageSetup paperSize="9" orientation="portrait" r:id="rId1"/>
  <headerFooter>
    <oddFooter>&amp;C&amp;"Calibri"&amp;11&amp;K000000_x000D_&amp;1#&amp;"Calibri"&amp;12&amp;K008000Internal Use</oddFooter>
  </headerFooter>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Normal="100" workbookViewId="0">
      <pane ySplit="3" topLeftCell="A4" activePane="bottomLeft" state="frozen"/>
      <selection activeCell="B26" sqref="B26"/>
      <selection pane="bottomLeft" activeCell="B2" sqref="B2"/>
    </sheetView>
  </sheetViews>
  <sheetFormatPr defaultRowHeight="12.75"/>
  <cols>
    <col min="1" max="1" width="8.375" customWidth="1"/>
    <col min="2" max="2" width="23.75" customWidth="1"/>
    <col min="3" max="3" width="25.75" customWidth="1"/>
    <col min="4" max="4" width="9.75" customWidth="1"/>
  </cols>
  <sheetData>
    <row r="1" spans="1:13" ht="20.25">
      <c r="A1" s="294" t="s">
        <v>122</v>
      </c>
      <c r="B1" s="294"/>
      <c r="C1" s="294"/>
      <c r="D1" s="294"/>
      <c r="E1" s="294"/>
      <c r="F1" s="294"/>
      <c r="G1" s="294"/>
      <c r="H1" s="294"/>
      <c r="I1" s="18" t="s">
        <v>123</v>
      </c>
      <c r="J1" s="19"/>
      <c r="K1" s="19"/>
      <c r="L1" s="19"/>
      <c r="M1" s="19"/>
    </row>
    <row r="2" spans="1:13" ht="20.25">
      <c r="A2" s="299" t="str">
        <f>Licensee</f>
        <v>SPT</v>
      </c>
      <c r="B2" s="294"/>
      <c r="C2" s="294"/>
      <c r="D2" s="294"/>
      <c r="E2" s="294"/>
      <c r="F2" s="294"/>
      <c r="G2" s="294"/>
      <c r="H2" s="294"/>
      <c r="I2" s="19"/>
      <c r="J2" s="19"/>
      <c r="K2" s="19"/>
      <c r="L2" s="19"/>
      <c r="M2" s="19"/>
    </row>
    <row r="3" spans="1:13" ht="20.25">
      <c r="A3" s="294">
        <f>Reporting_Year</f>
        <v>2022</v>
      </c>
      <c r="B3" s="294"/>
      <c r="C3" s="294"/>
      <c r="D3" s="294"/>
      <c r="E3" s="294"/>
      <c r="F3" s="294"/>
      <c r="G3" s="294"/>
      <c r="H3" s="294"/>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124</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68" t="s">
        <v>125</v>
      </c>
      <c r="C8" s="568" t="s">
        <v>126</v>
      </c>
      <c r="D8" s="734" t="s">
        <v>127</v>
      </c>
      <c r="E8" s="735"/>
      <c r="F8" s="735"/>
      <c r="G8" s="735"/>
      <c r="H8" s="735"/>
      <c r="I8" s="13"/>
      <c r="J8" s="13"/>
      <c r="K8" s="13"/>
      <c r="L8" s="13"/>
      <c r="M8" s="13"/>
    </row>
    <row r="9" spans="1:13">
      <c r="A9" s="13"/>
      <c r="B9" s="569" t="s">
        <v>128</v>
      </c>
      <c r="C9" s="570" t="s">
        <v>129</v>
      </c>
      <c r="D9" s="732"/>
      <c r="E9" s="733"/>
      <c r="F9" s="733"/>
      <c r="G9" s="733"/>
      <c r="H9" s="733"/>
      <c r="I9" s="13"/>
      <c r="J9" s="13"/>
      <c r="K9" s="13"/>
      <c r="L9" s="13"/>
      <c r="M9" s="13"/>
    </row>
    <row r="10" spans="1:13">
      <c r="A10" s="13"/>
      <c r="B10" s="569" t="s">
        <v>130</v>
      </c>
      <c r="C10" s="570"/>
      <c r="D10" s="732"/>
      <c r="E10" s="733"/>
      <c r="F10" s="733"/>
      <c r="G10" s="733"/>
      <c r="H10" s="733"/>
      <c r="I10" s="13"/>
      <c r="J10" s="13"/>
      <c r="K10" s="13"/>
      <c r="L10" s="13"/>
      <c r="M10" s="13"/>
    </row>
    <row r="11" spans="1:13">
      <c r="A11" s="13"/>
      <c r="B11" s="569" t="s">
        <v>131</v>
      </c>
      <c r="C11" s="570"/>
      <c r="D11" s="732"/>
      <c r="E11" s="733"/>
      <c r="F11" s="733"/>
      <c r="G11" s="733"/>
      <c r="H11" s="733"/>
      <c r="I11" s="13"/>
      <c r="J11" s="13"/>
      <c r="K11" s="13"/>
      <c r="L11" s="13"/>
      <c r="M11" s="13"/>
    </row>
    <row r="12" spans="1:13">
      <c r="A12" s="13"/>
      <c r="B12" s="569" t="s">
        <v>132</v>
      </c>
      <c r="C12" s="570"/>
      <c r="D12" s="732"/>
      <c r="E12" s="733"/>
      <c r="F12" s="733"/>
      <c r="G12" s="733"/>
      <c r="H12" s="733"/>
      <c r="I12" s="13"/>
      <c r="J12" s="13"/>
      <c r="K12" s="13"/>
      <c r="L12" s="13"/>
      <c r="M12" s="13"/>
    </row>
    <row r="13" spans="1:13">
      <c r="A13" s="13"/>
      <c r="B13" s="569" t="s">
        <v>133</v>
      </c>
      <c r="C13" s="570"/>
      <c r="D13" s="732"/>
      <c r="E13" s="733"/>
      <c r="F13" s="733"/>
      <c r="G13" s="733"/>
      <c r="H13" s="733"/>
      <c r="I13" s="13"/>
      <c r="J13" s="13"/>
      <c r="K13" s="13"/>
      <c r="L13" s="13"/>
      <c r="M13" s="13"/>
    </row>
    <row r="14" spans="1:13">
      <c r="A14" s="13"/>
      <c r="B14" s="569" t="s">
        <v>134</v>
      </c>
      <c r="C14" s="570"/>
      <c r="D14" s="732"/>
      <c r="E14" s="733"/>
      <c r="F14" s="733"/>
      <c r="G14" s="733"/>
      <c r="H14" s="733"/>
      <c r="I14" s="13"/>
      <c r="J14" s="13"/>
      <c r="K14" s="13"/>
      <c r="L14" s="13"/>
      <c r="M14" s="13"/>
    </row>
    <row r="15" spans="1:13">
      <c r="A15" s="13"/>
      <c r="B15" s="569" t="s">
        <v>135</v>
      </c>
      <c r="C15" s="570"/>
      <c r="D15" s="732"/>
      <c r="E15" s="733"/>
      <c r="F15" s="733"/>
      <c r="G15" s="733"/>
      <c r="H15" s="733"/>
      <c r="I15" s="13"/>
      <c r="J15" s="13"/>
      <c r="K15" s="13"/>
      <c r="L15" s="13"/>
      <c r="M15" s="13"/>
    </row>
    <row r="16" spans="1:13">
      <c r="A16" s="13"/>
      <c r="B16" s="569" t="s">
        <v>136</v>
      </c>
      <c r="C16" s="570"/>
      <c r="D16" s="732"/>
      <c r="E16" s="733"/>
      <c r="F16" s="733"/>
      <c r="G16" s="733"/>
      <c r="H16" s="733"/>
      <c r="I16" s="13"/>
      <c r="J16" s="13"/>
      <c r="K16" s="13"/>
      <c r="L16" s="13"/>
      <c r="M16" s="13"/>
    </row>
    <row r="17" spans="1:13">
      <c r="A17" s="13"/>
      <c r="B17" s="569" t="s">
        <v>137</v>
      </c>
      <c r="C17" s="570"/>
      <c r="D17" s="732"/>
      <c r="E17" s="733"/>
      <c r="F17" s="733"/>
      <c r="G17" s="733"/>
      <c r="H17" s="733"/>
      <c r="I17" s="13"/>
      <c r="J17" s="13"/>
      <c r="K17" s="13"/>
      <c r="L17" s="13"/>
      <c r="M17" s="13"/>
    </row>
    <row r="18" spans="1:13">
      <c r="A18" s="13"/>
      <c r="B18" s="569" t="s">
        <v>138</v>
      </c>
      <c r="C18" s="570"/>
      <c r="D18" s="732"/>
      <c r="E18" s="733"/>
      <c r="F18" s="733"/>
      <c r="G18" s="733"/>
      <c r="H18" s="733"/>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139</v>
      </c>
      <c r="C21" s="13"/>
      <c r="D21" s="13"/>
      <c r="E21" s="13"/>
      <c r="F21" s="13"/>
      <c r="G21" s="13"/>
      <c r="H21" s="13"/>
      <c r="I21" s="13"/>
      <c r="J21" s="13"/>
      <c r="K21" s="13"/>
      <c r="L21" s="13"/>
    </row>
    <row r="22" spans="1:13">
      <c r="A22" s="13"/>
      <c r="B22" s="125" t="s">
        <v>140</v>
      </c>
      <c r="C22" s="13"/>
      <c r="D22" s="13"/>
      <c r="E22" s="13"/>
      <c r="F22" s="13"/>
      <c r="G22" s="13"/>
      <c r="H22" s="13"/>
      <c r="I22" s="13"/>
      <c r="J22" s="13"/>
      <c r="K22" s="13"/>
      <c r="L22" s="13"/>
    </row>
    <row r="23" spans="1:13">
      <c r="A23" s="13"/>
      <c r="B23" s="125" t="s">
        <v>141</v>
      </c>
      <c r="C23" s="13"/>
      <c r="D23" s="13"/>
      <c r="E23" s="13"/>
      <c r="F23" s="13"/>
      <c r="G23" s="13"/>
      <c r="H23" s="13"/>
      <c r="I23" s="13"/>
      <c r="J23" s="13"/>
      <c r="K23" s="13"/>
      <c r="L23" s="13"/>
    </row>
    <row r="24" spans="1:13">
      <c r="B24" s="125" t="s">
        <v>142</v>
      </c>
    </row>
    <row r="25" spans="1:13">
      <c r="B25" s="125" t="s">
        <v>143</v>
      </c>
    </row>
    <row r="26" spans="1:13">
      <c r="B26" s="125" t="s">
        <v>144</v>
      </c>
    </row>
    <row r="27" spans="1:13">
      <c r="B27" s="125" t="s">
        <v>145</v>
      </c>
    </row>
    <row r="28" spans="1:13">
      <c r="B28" s="125" t="s">
        <v>146</v>
      </c>
    </row>
    <row r="29" spans="1:13">
      <c r="B29" s="522" t="s">
        <v>147</v>
      </c>
    </row>
    <row r="30" spans="1:13">
      <c r="B30" s="125" t="s">
        <v>148</v>
      </c>
    </row>
    <row r="31" spans="1:13">
      <c r="B31" s="125" t="s">
        <v>149</v>
      </c>
    </row>
    <row r="35" spans="5:5">
      <c r="E35" s="125"/>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6" location="'R6 - Net Debt'!A1" display="R6 - Net Debt" xr:uid="{00000000-0004-0000-0200-000005000000}"/>
    <hyperlink ref="B27" location="'R7 - RAV'!A1" display="R7 - RAV" xr:uid="{00000000-0004-0000-0200-000006000000}"/>
    <hyperlink ref="B28" location="'R8 - Tax'!A1" display="R8 - Tax" xr:uid="{00000000-0004-0000-0200-000007000000}"/>
    <hyperlink ref="B30" location="'R9 - Corporate Governance'!A1" display="R9 - Corporate Governance" xr:uid="{00000000-0004-0000-0200-00000A000000}"/>
    <hyperlink ref="B31" location="'R10 - Pensions &amp; Oth Activities'!A1" display="R10 - Pensions &amp; other Activities" xr:uid="{00000000-0004-0000-0200-00000B000000}"/>
    <hyperlink ref="B29"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headerFooter>
    <oddFooter>&amp;C&amp;"Calibri"&amp;11&amp;K000000_x000D_&amp;1#&amp;"Calibri"&amp;12&amp;K008000Internal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Normal="100" workbookViewId="0">
      <pane ySplit="5" topLeftCell="A6" activePane="bottomLeft" state="frozen"/>
      <selection activeCell="D15" sqref="D15"/>
      <selection pane="bottomLeft" activeCell="B2" sqref="B2"/>
    </sheetView>
  </sheetViews>
  <sheetFormatPr defaultRowHeight="12.75"/>
  <cols>
    <col min="1" max="1" width="19.125" bestFit="1" customWidth="1"/>
    <col min="2" max="2" width="12.125" bestFit="1" customWidth="1"/>
    <col min="3" max="3" width="104.125" customWidth="1"/>
    <col min="4" max="4" width="35.5" customWidth="1"/>
  </cols>
  <sheetData>
    <row r="1" spans="1:4" ht="20.25">
      <c r="A1" s="16" t="s">
        <v>150</v>
      </c>
      <c r="B1" s="16"/>
      <c r="C1" s="16"/>
      <c r="D1" s="16"/>
    </row>
    <row r="2" spans="1:4" ht="20.25">
      <c r="A2" s="299" t="str">
        <f>Licensee</f>
        <v>SPT</v>
      </c>
      <c r="B2" s="16"/>
      <c r="C2" s="16"/>
      <c r="D2" s="16"/>
    </row>
    <row r="3" spans="1:4" ht="20.25">
      <c r="A3" s="294">
        <f>Reporting_Year</f>
        <v>2022</v>
      </c>
      <c r="B3" s="16"/>
      <c r="C3" s="16"/>
      <c r="D3" s="16"/>
    </row>
    <row r="4" spans="1:4" ht="20.25">
      <c r="A4" s="270"/>
      <c r="B4" s="270"/>
      <c r="C4" s="270"/>
      <c r="D4" s="270"/>
    </row>
    <row r="5" spans="1:4" ht="30">
      <c r="A5" s="267" t="s">
        <v>151</v>
      </c>
      <c r="B5" s="268" t="s">
        <v>152</v>
      </c>
      <c r="C5" s="269" t="s">
        <v>153</v>
      </c>
    </row>
    <row r="6" spans="1:4">
      <c r="A6" s="132" t="s">
        <v>532</v>
      </c>
      <c r="B6" s="273" t="s">
        <v>534</v>
      </c>
      <c r="C6" s="275" t="s">
        <v>533</v>
      </c>
    </row>
    <row r="7" spans="1:4">
      <c r="A7" s="132" t="s">
        <v>532</v>
      </c>
      <c r="B7" s="273" t="s">
        <v>534</v>
      </c>
      <c r="C7" s="275" t="s">
        <v>535</v>
      </c>
    </row>
    <row r="8" spans="1:4">
      <c r="A8" s="132" t="s">
        <v>532</v>
      </c>
      <c r="B8" s="273" t="s">
        <v>534</v>
      </c>
      <c r="C8" s="275" t="s">
        <v>536</v>
      </c>
    </row>
    <row r="9" spans="1:4">
      <c r="A9" s="132" t="s">
        <v>532</v>
      </c>
      <c r="B9" s="273" t="s">
        <v>534</v>
      </c>
      <c r="C9" s="275" t="s">
        <v>537</v>
      </c>
    </row>
    <row r="10" spans="1:4" ht="63.75">
      <c r="A10" s="132" t="s">
        <v>532</v>
      </c>
      <c r="B10" s="273" t="s">
        <v>538</v>
      </c>
      <c r="C10" s="275" t="s">
        <v>539</v>
      </c>
    </row>
    <row r="11" spans="1:4">
      <c r="A11" s="132"/>
      <c r="B11" s="273"/>
      <c r="C11" s="275"/>
    </row>
    <row r="12" spans="1:4">
      <c r="A12" s="132"/>
      <c r="B12" s="273"/>
      <c r="C12" s="275"/>
    </row>
    <row r="13" spans="1:4">
      <c r="A13" s="132"/>
      <c r="B13" s="273"/>
      <c r="C13" s="275"/>
    </row>
    <row r="14" spans="1:4">
      <c r="A14" s="132"/>
      <c r="B14" s="273"/>
      <c r="C14" s="275"/>
    </row>
    <row r="15" spans="1:4">
      <c r="A15" s="132"/>
      <c r="B15" s="273"/>
      <c r="C15" s="275"/>
    </row>
    <row r="16" spans="1:4">
      <c r="A16" s="132"/>
      <c r="B16" s="273"/>
      <c r="C16" s="275"/>
    </row>
    <row r="17" spans="1:3">
      <c r="A17" s="132"/>
      <c r="B17" s="273"/>
      <c r="C17" s="275"/>
    </row>
    <row r="18" spans="1:3">
      <c r="A18" s="132"/>
      <c r="B18" s="273"/>
      <c r="C18" s="275"/>
    </row>
    <row r="19" spans="1:3">
      <c r="A19" s="132"/>
      <c r="B19" s="273"/>
      <c r="C19" s="275"/>
    </row>
    <row r="20" spans="1:3">
      <c r="A20" s="132"/>
      <c r="B20" s="273"/>
      <c r="C20" s="275"/>
    </row>
    <row r="21" spans="1:3">
      <c r="A21" s="133"/>
      <c r="B21" s="271"/>
      <c r="C21" s="126"/>
    </row>
    <row r="22" spans="1:3">
      <c r="A22" s="133"/>
      <c r="B22" s="271"/>
      <c r="C22" s="126"/>
    </row>
    <row r="23" spans="1:3">
      <c r="A23" s="133"/>
      <c r="B23" s="133"/>
      <c r="C23" s="126"/>
    </row>
    <row r="24" spans="1:3">
      <c r="A24" s="133"/>
      <c r="B24" s="271"/>
      <c r="C24" s="126"/>
    </row>
    <row r="25" spans="1:3">
      <c r="A25" s="133"/>
      <c r="B25" s="271"/>
      <c r="C25" s="126"/>
    </row>
    <row r="26" spans="1:3" ht="13.5" thickBot="1">
      <c r="A26" s="307"/>
      <c r="B26" s="308"/>
      <c r="C26" s="309"/>
    </row>
    <row r="27" spans="1:3">
      <c r="A27" s="304"/>
      <c r="B27" s="305"/>
      <c r="C27" s="306"/>
    </row>
    <row r="28" spans="1:3">
      <c r="A28" s="304"/>
      <c r="B28" s="271"/>
      <c r="C28" s="126"/>
    </row>
    <row r="29" spans="1:3">
      <c r="A29" s="133"/>
      <c r="B29" s="271"/>
      <c r="C29" s="126"/>
    </row>
    <row r="30" spans="1:3">
      <c r="A30" s="133"/>
      <c r="B30" s="271"/>
      <c r="C30" s="126"/>
    </row>
    <row r="31" spans="1:3">
      <c r="A31" s="133"/>
      <c r="B31" s="271"/>
      <c r="C31" s="126"/>
    </row>
    <row r="32" spans="1:3">
      <c r="A32" s="133"/>
      <c r="B32" s="271"/>
      <c r="C32" s="279"/>
    </row>
    <row r="33" spans="1:3">
      <c r="A33" s="133"/>
      <c r="B33" s="271"/>
      <c r="C33" s="126"/>
    </row>
    <row r="34" spans="1:3">
      <c r="A34" s="133"/>
      <c r="B34" s="271"/>
      <c r="C34" s="126"/>
    </row>
    <row r="35" spans="1:3">
      <c r="A35" s="134"/>
      <c r="B35" s="271"/>
      <c r="C35" s="126"/>
    </row>
    <row r="36" spans="1:3">
      <c r="A36" s="134"/>
      <c r="B36" s="280"/>
      <c r="C36" s="126"/>
    </row>
    <row r="37" spans="1:3">
      <c r="A37" s="134"/>
      <c r="B37" s="280"/>
      <c r="C37" s="126"/>
    </row>
    <row r="38" spans="1:3">
      <c r="A38" s="134"/>
      <c r="B38" s="280"/>
      <c r="C38" s="126"/>
    </row>
    <row r="39" spans="1:3">
      <c r="A39" s="134"/>
      <c r="B39" s="280"/>
      <c r="C39" s="126"/>
    </row>
    <row r="40" spans="1:3">
      <c r="A40" s="133"/>
      <c r="B40" s="280"/>
      <c r="C40" s="126"/>
    </row>
    <row r="41" spans="1:3">
      <c r="A41" s="134"/>
      <c r="B41" s="280"/>
      <c r="C41" s="126"/>
    </row>
    <row r="42" spans="1:3">
      <c r="A42" s="134"/>
      <c r="B42" s="280"/>
      <c r="C42" s="126"/>
    </row>
    <row r="43" spans="1:3">
      <c r="A43" s="134"/>
      <c r="B43" s="280"/>
      <c r="C43" s="126"/>
    </row>
    <row r="44" spans="1:3">
      <c r="A44" s="134"/>
      <c r="B44" s="271"/>
      <c r="C44" s="126"/>
    </row>
    <row r="45" spans="1:3">
      <c r="A45" s="134"/>
      <c r="B45" s="271"/>
      <c r="C45" s="126"/>
    </row>
    <row r="46" spans="1:3">
      <c r="A46" s="134"/>
      <c r="B46" s="271"/>
      <c r="C46" s="126"/>
    </row>
    <row r="47" spans="1:3">
      <c r="A47" s="134"/>
      <c r="B47" s="271"/>
      <c r="C47" s="126"/>
    </row>
    <row r="48" spans="1:3">
      <c r="A48" s="134"/>
      <c r="B48" s="271"/>
      <c r="C48" s="126"/>
    </row>
    <row r="49" spans="1:3">
      <c r="A49" s="134"/>
      <c r="B49" s="271"/>
      <c r="C49" s="126"/>
    </row>
    <row r="50" spans="1:3">
      <c r="A50" s="134"/>
      <c r="B50" s="271"/>
      <c r="C50" s="126"/>
    </row>
    <row r="51" spans="1:3">
      <c r="A51" s="134"/>
      <c r="B51" s="271"/>
      <c r="C51" s="126"/>
    </row>
    <row r="52" spans="1:3">
      <c r="A52" s="134"/>
      <c r="B52" s="271"/>
      <c r="C52" s="126"/>
    </row>
    <row r="53" spans="1:3">
      <c r="A53" s="134"/>
      <c r="B53" s="271"/>
      <c r="C53" s="126"/>
    </row>
    <row r="54" spans="1:3">
      <c r="A54" s="134"/>
      <c r="B54" s="284"/>
      <c r="C54" s="285"/>
    </row>
    <row r="55" spans="1:3">
      <c r="A55" s="134"/>
      <c r="B55" s="271"/>
      <c r="C55" s="126"/>
    </row>
    <row r="56" spans="1:3">
      <c r="A56" s="134"/>
      <c r="B56" s="271"/>
      <c r="C56" s="126"/>
    </row>
    <row r="57" spans="1:3">
      <c r="A57" s="134"/>
      <c r="B57" s="271"/>
      <c r="C57" s="126"/>
    </row>
    <row r="58" spans="1:3">
      <c r="A58" s="134"/>
      <c r="B58" s="271"/>
      <c r="C58" s="126"/>
    </row>
    <row r="59" spans="1:3">
      <c r="A59" s="134"/>
      <c r="B59" s="271"/>
      <c r="C59" s="279"/>
    </row>
    <row r="60" spans="1:3">
      <c r="A60" s="135"/>
      <c r="B60" s="272"/>
      <c r="C60" s="127"/>
    </row>
    <row r="61" spans="1:3">
      <c r="A61" s="135"/>
      <c r="B61" s="272"/>
      <c r="C61" s="127"/>
    </row>
    <row r="62" spans="1:3">
      <c r="A62" s="135"/>
      <c r="B62" s="272"/>
      <c r="C62" s="127"/>
    </row>
    <row r="63" spans="1:3">
      <c r="A63" s="135"/>
      <c r="B63" s="272"/>
      <c r="C63" s="127"/>
    </row>
    <row r="64" spans="1:3">
      <c r="A64" s="135"/>
      <c r="B64" s="272"/>
      <c r="C64" s="127"/>
    </row>
    <row r="65" spans="1:3">
      <c r="A65" s="135"/>
      <c r="B65" s="272"/>
      <c r="C65" s="127"/>
    </row>
    <row r="66" spans="1:3">
      <c r="A66" s="135"/>
      <c r="B66" s="272"/>
      <c r="C66" s="127"/>
    </row>
    <row r="67" spans="1:3">
      <c r="A67" s="135"/>
      <c r="B67" s="272"/>
      <c r="C67" s="127"/>
    </row>
  </sheetData>
  <phoneticPr fontId="250" type="noConversion"/>
  <pageMargins left="0.70866141732283472" right="0.70866141732283472" top="0.74803149606299213" bottom="0.74803149606299213" header="0.31496062992125984" footer="0.31496062992125984"/>
  <pageSetup paperSize="8" scale="85" orientation="landscape" r:id="rId1"/>
  <headerFooter>
    <oddFooter>&amp;C&amp;"Calibri"&amp;11&amp;K000000_x000D_&amp;1#&amp;"Calibri"&amp;12&amp;K008000Internal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zoomScaleNormal="100" workbookViewId="0">
      <pane ySplit="7" topLeftCell="A8" activePane="bottomLeft" state="frozen"/>
      <selection pane="bottomLeft" activeCell="B3" sqref="B3"/>
    </sheetView>
  </sheetViews>
  <sheetFormatPr defaultRowHeight="12.75"/>
  <cols>
    <col min="1" max="1" width="8.375" customWidth="1"/>
    <col min="2" max="2" width="63.375" style="88" customWidth="1"/>
    <col min="3" max="3" width="13.375" customWidth="1"/>
    <col min="4" max="4" width="10.625" bestFit="1" customWidth="1"/>
    <col min="5" max="5" width="10.875" bestFit="1" customWidth="1"/>
    <col min="6" max="8" width="9.125" customWidth="1"/>
    <col min="9" max="9" width="2.625" customWidth="1"/>
    <col min="10" max="11" width="13.75" customWidth="1"/>
    <col min="12" max="12" width="5.125" customWidth="1"/>
    <col min="16" max="16" width="10.5" bestFit="1" customWidth="1"/>
  </cols>
  <sheetData>
    <row r="1" spans="1:20" ht="20.25">
      <c r="A1" s="677" t="s">
        <v>154</v>
      </c>
      <c r="B1" s="399"/>
      <c r="C1" s="400"/>
      <c r="D1" s="400"/>
      <c r="E1" s="400"/>
      <c r="F1" s="400"/>
      <c r="G1" s="401"/>
      <c r="H1" s="401"/>
      <c r="I1" s="402"/>
      <c r="J1" s="402"/>
      <c r="K1" s="402"/>
      <c r="L1" s="681" t="s">
        <v>123</v>
      </c>
    </row>
    <row r="2" spans="1:20" ht="20.25">
      <c r="A2" s="299" t="str">
        <f>Licensee</f>
        <v>SPT</v>
      </c>
      <c r="B2" s="302"/>
      <c r="C2" s="294"/>
      <c r="D2" s="294"/>
      <c r="E2" s="294"/>
      <c r="F2" s="294"/>
      <c r="G2" s="16"/>
      <c r="H2" s="16"/>
      <c r="I2" s="15"/>
      <c r="J2" s="15"/>
      <c r="K2" s="15"/>
      <c r="L2" s="65"/>
    </row>
    <row r="3" spans="1:20" ht="20.25">
      <c r="A3" s="294">
        <f>Reporting_Year</f>
        <v>2022</v>
      </c>
      <c r="B3" s="16" t="str">
        <f>IF(Licensee=Data!$B$78,"Only required to be completed to show Operational Performance",IF(Licensee=Data!$B$81,"not required to be completed",""))</f>
        <v/>
      </c>
      <c r="C3" s="16"/>
      <c r="D3" s="16"/>
      <c r="E3" s="16"/>
      <c r="F3" s="16"/>
      <c r="G3" s="16"/>
      <c r="H3" s="571"/>
      <c r="I3" s="572"/>
      <c r="J3" s="572"/>
      <c r="K3" s="572"/>
      <c r="L3" s="119"/>
    </row>
    <row r="4" spans="1:20" ht="12.75" customHeight="1"/>
    <row r="5" spans="1:20">
      <c r="D5" s="153" t="str">
        <f t="shared" ref="D5:H5" si="0">IF(D6&lt;=Reporting_Year,"Actuals","Forecast")</f>
        <v>Actuals</v>
      </c>
      <c r="E5" s="153" t="str">
        <f t="shared" si="0"/>
        <v>Forecast</v>
      </c>
      <c r="F5" s="153" t="str">
        <f t="shared" si="0"/>
        <v>Forecast</v>
      </c>
      <c r="G5" s="153" t="str">
        <f t="shared" si="0"/>
        <v>Forecast</v>
      </c>
      <c r="H5" s="153" t="str">
        <f t="shared" si="0"/>
        <v>Forecast</v>
      </c>
      <c r="I5" s="2"/>
      <c r="J5" s="2"/>
    </row>
    <row r="6" spans="1:20" ht="31.5" customHeight="1">
      <c r="C6" s="79"/>
      <c r="D6" s="324">
        <f>RIIO_2_start_date</f>
        <v>2022</v>
      </c>
      <c r="E6" s="324">
        <f>D6+1</f>
        <v>2023</v>
      </c>
      <c r="F6" s="324">
        <f>E6+1</f>
        <v>2024</v>
      </c>
      <c r="G6" s="324">
        <f t="shared" ref="G6:H6" si="1">F6+1</f>
        <v>2025</v>
      </c>
      <c r="H6" s="324">
        <f t="shared" si="1"/>
        <v>2026</v>
      </c>
      <c r="I6" s="27"/>
      <c r="J6" s="49" t="str">
        <f>"Cumulative to "&amp;'RFPR cover'!$C$9</f>
        <v>Cumulative to 2022</v>
      </c>
      <c r="K6" s="86" t="s">
        <v>155</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9" t="s">
        <v>156</v>
      </c>
      <c r="C9" s="98"/>
      <c r="D9" s="98"/>
      <c r="E9" s="98"/>
      <c r="F9" s="98"/>
      <c r="G9" s="98"/>
      <c r="H9" s="98"/>
      <c r="I9" s="190"/>
      <c r="J9" s="98"/>
      <c r="K9" s="98"/>
      <c r="L9" s="98"/>
    </row>
    <row r="10" spans="1:20">
      <c r="B10" s="89"/>
      <c r="I10" s="27"/>
    </row>
    <row r="11" spans="1:20">
      <c r="B11" s="457" t="s">
        <v>157</v>
      </c>
      <c r="C11" s="456" t="s">
        <v>158</v>
      </c>
      <c r="D11" s="179">
        <f>IFERROR(Equity_Return_on_the_RAV/NPV_neutral_equity_element_of_RAV,0)</f>
        <v>4.2439449777777784E-2</v>
      </c>
      <c r="E11" s="179">
        <f>IFERROR(Equity_Return_on_the_RAV/NPV_neutral_equity_element_of_RAV,0)</f>
        <v>4.2616093333333334E-2</v>
      </c>
      <c r="F11" s="179">
        <f>IFERROR(Equity_Return_on_the_RAV/NPV_neutral_equity_element_of_RAV,0)</f>
        <v>4.2388117333333329E-2</v>
      </c>
      <c r="G11" s="179">
        <f>IFERROR(Equity_Return_on_the_RAV/NPV_neutral_equity_element_of_RAV,0)</f>
        <v>4.2547130666666676E-2</v>
      </c>
      <c r="H11" s="179">
        <f>IFERROR(Equity_Return_on_the_RAV/NPV_neutral_equity_element_of_RAV,0)</f>
        <v>4.2685452444444452E-2</v>
      </c>
      <c r="I11" s="80"/>
      <c r="J11" s="180">
        <f>IFERROR(AVERAGE(D65:INDEX(D65:H65,0,MATCH('RFPR cover'!$C$9,$D$6:$H$6,0)))/AVERAGE($D$90:INDEX($D$90:$H$90,0,MATCH('RFPR cover'!$C$9,$D$6:$H$6,0))),0)</f>
        <v>4.2439449777777784E-2</v>
      </c>
      <c r="K11" s="180">
        <f t="shared" ref="K11:K21" si="2">IFERROR(AVERAGE(D65:H65)/AVERAGE($D$90:$H$90),0)</f>
        <v>4.2541370549949893E-2</v>
      </c>
      <c r="N11" s="310"/>
      <c r="P11" s="471"/>
    </row>
    <row r="12" spans="1:20">
      <c r="B12" s="457" t="str">
        <f t="shared" ref="B12:B18" si="3">B66</f>
        <v>Totex outperformance</v>
      </c>
      <c r="C12" s="456" t="s">
        <v>158</v>
      </c>
      <c r="D12" s="334">
        <f>IFERROR(Totex_outperformance/NPV_neutral_equity_element_of_RAV,0)</f>
        <v>0</v>
      </c>
      <c r="E12" s="334">
        <f>IFERROR(Totex_outperformance/NPV_neutral_equity_element_of_RAV,0)</f>
        <v>0</v>
      </c>
      <c r="F12" s="334">
        <f>IFERROR(Totex_outperformance/NPV_neutral_equity_element_of_RAV,0)</f>
        <v>0</v>
      </c>
      <c r="G12" s="334">
        <f>IFERROR(Totex_outperformance/NPV_neutral_equity_element_of_RAV,0)</f>
        <v>0</v>
      </c>
      <c r="H12" s="334">
        <f>IFERROR(Totex_outperformance/NPV_neutral_equity_element_of_RAV,0)</f>
        <v>0</v>
      </c>
      <c r="I12" s="80"/>
      <c r="J12" s="180">
        <f>IFERROR(AVERAGE(D66:INDEX(D66:H66,0,MATCH('RFPR cover'!$C$9,$D$6:$H$6,0)))/AVERAGE($D$90:INDEX($D$90:$H$90,0,MATCH('RFPR cover'!$C$9,$D$6:$H$6,0))),0)</f>
        <v>0</v>
      </c>
      <c r="K12" s="180">
        <f t="shared" si="2"/>
        <v>0</v>
      </c>
      <c r="M12" s="80"/>
      <c r="N12" s="310"/>
      <c r="P12" s="471"/>
    </row>
    <row r="13" spans="1:20">
      <c r="A13" s="78" t="s">
        <v>159</v>
      </c>
      <c r="B13" s="457" t="str">
        <f t="shared" si="3"/>
        <v>Business Plan Incentive</v>
      </c>
      <c r="C13" s="456" t="s">
        <v>158</v>
      </c>
      <c r="D13" s="334">
        <f>IFERROR(Business_Plan_Incentive/NPV_neutral_equity_element_of_RAV,0)</f>
        <v>9.2363153089081596E-4</v>
      </c>
      <c r="E13" s="334">
        <f>IFERROR(Business_Plan_Incentive/NPV_neutral_equity_element_of_RAV,0)</f>
        <v>8.7020580336703607E-4</v>
      </c>
      <c r="F13" s="334">
        <f>IFERROR(Business_Plan_Incentive/NPV_neutral_equity_element_of_RAV,0)</f>
        <v>7.9892651339532282E-4</v>
      </c>
      <c r="G13" s="334">
        <f>IFERROR(Business_Plan_Incentive/NPV_neutral_equity_element_of_RAV,0)</f>
        <v>7.4659129763055313E-4</v>
      </c>
      <c r="H13" s="334">
        <f>IFERROR(Business_Plan_Incentive/NPV_neutral_equity_element_of_RAV,0)</f>
        <v>6.9074664821549517E-4</v>
      </c>
      <c r="I13" s="80"/>
      <c r="J13" s="180">
        <f>IFERROR(AVERAGE(D67:INDEX(D67:H67,0,MATCH('RFPR cover'!$C$9,$D$6:$H$6,0)))/AVERAGE($D$90:INDEX($D$90:$H$90,0,MATCH('RFPR cover'!$C$9,$D$6:$H$6,0))),0)</f>
        <v>9.2363153089081596E-4</v>
      </c>
      <c r="K13" s="180">
        <f t="shared" si="2"/>
        <v>7.9736606766748032E-4</v>
      </c>
      <c r="N13" s="310"/>
      <c r="P13" s="471"/>
    </row>
    <row r="14" spans="1:20">
      <c r="A14" s="78" t="s">
        <v>160</v>
      </c>
      <c r="B14" s="457" t="str">
        <f t="shared" si="3"/>
        <v xml:space="preserve">Energy not supplied ODI </v>
      </c>
      <c r="C14" s="456" t="s">
        <v>158</v>
      </c>
      <c r="D14" s="334">
        <f>IFERROR(ODI_1/NPV_neutral_equity_element_of_RAV,0)</f>
        <v>1.2347290299738432E-3</v>
      </c>
      <c r="E14" s="334">
        <f>IFERROR(ODI_1/NPV_neutral_equity_element_of_RAV,0)</f>
        <v>9.9924581640482369E-4</v>
      </c>
      <c r="F14" s="334">
        <f>IFERROR(ODI_1/NPV_neutral_equity_element_of_RAV,0)</f>
        <v>9.1739675032763597E-4</v>
      </c>
      <c r="G14" s="334">
        <f>IFERROR(ODI_1/NPV_neutral_equity_element_of_RAV,0)</f>
        <v>8.5730091414584428E-4</v>
      </c>
      <c r="H14" s="334">
        <f>IFERROR(ODI_1/NPV_neutral_equity_element_of_RAV,0)</f>
        <v>7.931752417121771E-4</v>
      </c>
      <c r="I14" s="80"/>
      <c r="J14" s="180">
        <f>IFERROR(AVERAGE(D68:INDEX(D68:H68,0,MATCH('RFPR cover'!$C$9,$D$6:$H$6,0)))/AVERAGE($D$90:INDEX($D$90:$H$90,0,MATCH('RFPR cover'!$C$9,$D$6:$H$6,0))),0)</f>
        <v>1.2347290299738432E-3</v>
      </c>
      <c r="K14" s="180">
        <f t="shared" si="2"/>
        <v>9.4567089759252084E-4</v>
      </c>
      <c r="N14" s="310"/>
      <c r="P14" s="471"/>
    </row>
    <row r="15" spans="1:20">
      <c r="A15" s="78" t="s">
        <v>161</v>
      </c>
      <c r="B15" s="457" t="str">
        <f t="shared" si="3"/>
        <v xml:space="preserve">Insulation And Interruption Gas emissions ODI </v>
      </c>
      <c r="C15" s="456" t="s">
        <v>158</v>
      </c>
      <c r="D15" s="334">
        <f>IFERROR(ODI_2/NPV_neutral_equity_element_of_RAV,0)</f>
        <v>1.0415748668578006E-3</v>
      </c>
      <c r="E15" s="334">
        <f>IFERROR(ODI_2/NPV_neutral_equity_element_of_RAV,0)</f>
        <v>1.1044653343883315E-3</v>
      </c>
      <c r="F15" s="334">
        <f>IFERROR(ODI_2/NPV_neutral_equity_element_of_RAV,0)</f>
        <v>1.0441728405206603E-3</v>
      </c>
      <c r="G15" s="334">
        <f>IFERROR(ODI_2/NPV_neutral_equity_element_of_RAV,0)</f>
        <v>9.9572332437918888E-4</v>
      </c>
      <c r="H15" s="334">
        <f>IFERROR(ODI_2/NPV_neutral_equity_element_of_RAV,0)</f>
        <v>8.7473108836489994E-4</v>
      </c>
      <c r="I15" s="80"/>
      <c r="J15" s="180">
        <f>IFERROR(AVERAGE(D69:INDEX(D69:H69,0,MATCH('RFPR cover'!$C$9,$D$6:$H$6,0)))/AVERAGE($D$90:INDEX($D$90:$H$90,0,MATCH('RFPR cover'!$C$9,$D$6:$H$6,0))),0)</f>
        <v>1.0415748668578006E-3</v>
      </c>
      <c r="K15" s="180">
        <f t="shared" si="2"/>
        <v>1.0053053806727611E-3</v>
      </c>
      <c r="N15" s="310"/>
      <c r="P15" s="471"/>
    </row>
    <row r="16" spans="1:20">
      <c r="A16" s="78" t="s">
        <v>162</v>
      </c>
      <c r="B16" s="457" t="str">
        <f t="shared" si="3"/>
        <v xml:space="preserve">Timely Connections ODI </v>
      </c>
      <c r="C16" s="456" t="s">
        <v>158</v>
      </c>
      <c r="D16" s="334">
        <f>IFERROR(ODI_3/NPV_neutral_equity_element_of_RAV,0)</f>
        <v>0</v>
      </c>
      <c r="E16" s="334">
        <f>IFERROR(ODI_3/NPV_neutral_equity_element_of_RAV,0)</f>
        <v>0</v>
      </c>
      <c r="F16" s="334">
        <f>IFERROR(ODI_3/NPV_neutral_equity_element_of_RAV,0)</f>
        <v>0</v>
      </c>
      <c r="G16" s="334">
        <f>IFERROR(ODI_3/NPV_neutral_equity_element_of_RAV,0)</f>
        <v>0</v>
      </c>
      <c r="H16" s="334">
        <f>IFERROR(ODI_3/NPV_neutral_equity_element_of_RAV,0)</f>
        <v>0</v>
      </c>
      <c r="I16" s="80"/>
      <c r="J16" s="180">
        <f>IFERROR(AVERAGE(D70:INDEX(D70:H70,0,MATCH('RFPR cover'!$C$9,$D$6:$H$6,0)))/AVERAGE($D$90:INDEX($D$90:$H$90,0,MATCH('RFPR cover'!$C$9,$D$6:$H$6,0))),0)</f>
        <v>0</v>
      </c>
      <c r="K16" s="180">
        <f t="shared" si="2"/>
        <v>0</v>
      </c>
      <c r="N16" s="310"/>
      <c r="P16" s="471"/>
    </row>
    <row r="17" spans="1:16">
      <c r="A17" s="78" t="s">
        <v>163</v>
      </c>
      <c r="B17" s="457" t="str">
        <f t="shared" si="3"/>
        <v xml:space="preserve">Quality of connections satisfaction survey ODI </v>
      </c>
      <c r="C17" s="456" t="s">
        <v>158</v>
      </c>
      <c r="D17" s="334">
        <f>IFERROR(ODI_4/NPV_neutral_equity_element_of_RAV,0)</f>
        <v>3.5109984011415718E-4</v>
      </c>
      <c r="E17" s="334">
        <f>IFERROR(ODI_4/NPV_neutral_equity_element_of_RAV,0)</f>
        <v>7.9282442577532106E-4</v>
      </c>
      <c r="F17" s="334">
        <f>IFERROR(ODI_4/NPV_neutral_equity_element_of_RAV,0)</f>
        <v>9.5029235974091223E-4</v>
      </c>
      <c r="G17" s="334">
        <f>IFERROR(ODI_4/NPV_neutral_equity_element_of_RAV,0)</f>
        <v>1.0486449076219301E-3</v>
      </c>
      <c r="H17" s="334">
        <f>IFERROR(ODI_4/NPV_neutral_equity_element_of_RAV,0)</f>
        <v>1.1187970326788825E-3</v>
      </c>
      <c r="I17" s="80"/>
      <c r="J17" s="180">
        <f>IFERROR(AVERAGE(D71:INDEX(D71:H71,0,MATCH('RFPR cover'!$C$9,$D$6:$H$6,0)))/AVERAGE($D$90:INDEX($D$90:$H$90,0,MATCH('RFPR cover'!$C$9,$D$6:$H$6,0))),0)</f>
        <v>3.5109984011415718E-4</v>
      </c>
      <c r="K17" s="180">
        <f t="shared" si="2"/>
        <v>8.7789006719273162E-4</v>
      </c>
      <c r="N17" s="310"/>
      <c r="P17" s="471"/>
    </row>
    <row r="18" spans="1:16">
      <c r="A18" s="78" t="s">
        <v>164</v>
      </c>
      <c r="B18" s="457" t="str">
        <f t="shared" si="3"/>
        <v>SO-TO Optimisation ODI</v>
      </c>
      <c r="C18" s="456" t="s">
        <v>158</v>
      </c>
      <c r="D18" s="334">
        <f>IFERROR(ODI_5/NPV_neutral_equity_element_of_RAV,0)</f>
        <v>3.679748019069011E-4</v>
      </c>
      <c r="E18" s="334">
        <f>IFERROR(ODI_5/NPV_neutral_equity_element_of_RAV,0)</f>
        <v>2.1755145084175901E-3</v>
      </c>
      <c r="F18" s="334">
        <f>IFERROR(ODI_5/NPV_neutral_equity_element_of_RAV,0)</f>
        <v>0</v>
      </c>
      <c r="G18" s="334">
        <f>IFERROR(ODI_5/NPV_neutral_equity_element_of_RAV,0)</f>
        <v>0</v>
      </c>
      <c r="H18" s="334">
        <f>IFERROR(ODI_5/NPV_neutral_equity_element_of_RAV,0)</f>
        <v>0</v>
      </c>
      <c r="I18" s="80"/>
      <c r="J18" s="180">
        <f>IFERROR(AVERAGE(D72:INDEX(D72:H72,0,MATCH('RFPR cover'!$C$9,$D$6:$H$6,0)))/AVERAGE($D$90:INDEX($D$90:$H$90,0,MATCH('RFPR cover'!$C$9,$D$6:$H$6,0))),0)</f>
        <v>3.679748019069011E-4</v>
      </c>
      <c r="K18" s="180">
        <f t="shared" si="2"/>
        <v>4.6221716210548502E-4</v>
      </c>
      <c r="N18" s="310"/>
      <c r="P18" s="471"/>
    </row>
    <row r="19" spans="1:16">
      <c r="A19" s="78" t="s">
        <v>165</v>
      </c>
      <c r="B19" s="457" t="str">
        <f>B73</f>
        <v xml:space="preserve">Environmental scorecard ODI </v>
      </c>
      <c r="C19" s="456" t="s">
        <v>158</v>
      </c>
      <c r="D19" s="334">
        <f>IFERROR(ODI_6/NPV_neutral_equity_element_of_RAV,0)</f>
        <v>0</v>
      </c>
      <c r="E19" s="334">
        <f>IFERROR(ODI_6/NPV_neutral_equity_element_of_RAV,0)</f>
        <v>0</v>
      </c>
      <c r="F19" s="334">
        <f>IFERROR(ODI_6/NPV_neutral_equity_element_of_RAV,0)</f>
        <v>0</v>
      </c>
      <c r="G19" s="334">
        <f>IFERROR(ODI_6/NPV_neutral_equity_element_of_RAV,0)</f>
        <v>0</v>
      </c>
      <c r="H19" s="334">
        <f>IFERROR(ODI_6/NPV_neutral_equity_element_of_RAV,0)</f>
        <v>0</v>
      </c>
      <c r="I19" s="80"/>
      <c r="J19" s="180">
        <f>IFERROR(AVERAGE(D73:INDEX(D73:H73,0,MATCH('RFPR cover'!$C$9,$D$6:$H$6,0)))/AVERAGE($D$90:INDEX($D$90:$H$90,0,MATCH('RFPR cover'!$C$9,$D$6:$H$6,0))),0)</f>
        <v>0</v>
      </c>
      <c r="K19" s="180">
        <f t="shared" si="2"/>
        <v>0</v>
      </c>
      <c r="N19" s="310"/>
      <c r="P19" s="471"/>
    </row>
    <row r="20" spans="1:16">
      <c r="A20" s="78" t="s">
        <v>166</v>
      </c>
      <c r="B20" s="457" t="str">
        <f t="shared" ref="B20" si="4">B74</f>
        <v>Network innovation input for RORE</v>
      </c>
      <c r="C20" s="456" t="s">
        <v>158</v>
      </c>
      <c r="D20" s="334">
        <f>IFERROR(ORA_1/NPV_neutral_equity_element_of_RAV,0)</f>
        <v>-1.0799247622972203E-4</v>
      </c>
      <c r="E20" s="334">
        <f>IFERROR(ORA_1/NPV_neutral_equity_element_of_RAV,0)</f>
        <v>-2.6160851254257883E-4</v>
      </c>
      <c r="F20" s="334">
        <f>IFERROR(ORA_1/NPV_neutral_equity_element_of_RAV,0)</f>
        <v>-2.6956874659890453E-4</v>
      </c>
      <c r="G20" s="334">
        <f>IFERROR(ORA_1/NPV_neutral_equity_element_of_RAV,0)</f>
        <v>-2.5191012809000631E-4</v>
      </c>
      <c r="H20" s="334">
        <f>IFERROR(ORA_1/NPV_neutral_equity_element_of_RAV,0)</f>
        <v>-2.7929879839087168E-4</v>
      </c>
      <c r="I20" s="80"/>
      <c r="J20" s="180">
        <f>IFERROR(AVERAGE(D74:INDEX(D74:H74,0,MATCH('RFPR cover'!$C$9,$D$6:$H$6,0)))/AVERAGE($D$90:INDEX($D$90:$H$90,0,MATCH('RFPR cover'!$C$9,$D$6:$H$6,0))),0)</f>
        <v>-1.0799247622972203E-4</v>
      </c>
      <c r="K20" s="180">
        <f t="shared" si="2"/>
        <v>-2.3868685041153465E-4</v>
      </c>
      <c r="N20" s="310"/>
      <c r="P20" s="471"/>
    </row>
    <row r="21" spans="1:16">
      <c r="A21" s="78" t="s">
        <v>167</v>
      </c>
      <c r="B21" s="457" t="str">
        <f t="shared" ref="B21" si="5">B75</f>
        <v>Carry-over Network innovation input for RORE</v>
      </c>
      <c r="C21" s="456" t="s">
        <v>158</v>
      </c>
      <c r="D21" s="334">
        <f>IFERROR(ORA_2/NPV_neutral_equity_element_of_RAV,0)</f>
        <v>-3.2919801065824481E-5</v>
      </c>
      <c r="E21" s="334">
        <f>IFERROR(ORA_2/NPV_neutral_equity_element_of_RAV,0)</f>
        <v>0</v>
      </c>
      <c r="F21" s="334">
        <f>IFERROR(ORA_2/NPV_neutral_equity_element_of_RAV,0)</f>
        <v>0</v>
      </c>
      <c r="G21" s="334">
        <f>IFERROR(ORA_2/NPV_neutral_equity_element_of_RAV,0)</f>
        <v>0</v>
      </c>
      <c r="H21" s="334">
        <f>IFERROR(ORA_2/NPV_neutral_equity_element_of_RAV,0)</f>
        <v>0</v>
      </c>
      <c r="I21" s="80"/>
      <c r="J21" s="180">
        <f>IFERROR(AVERAGE(D75:INDEX(D75:H75,0,MATCH('RFPR cover'!$C$9,$D$6:$H$6,0)))/AVERAGE($D$90:INDEX($D$90:$H$90,0,MATCH('RFPR cover'!$C$9,$D$6:$H$6,0))),0)</f>
        <v>-3.2919801065824481E-5</v>
      </c>
      <c r="K21" s="180">
        <f t="shared" si="2"/>
        <v>-5.6838969754390405E-6</v>
      </c>
      <c r="N21" s="310"/>
      <c r="P21" s="471"/>
    </row>
    <row r="22" spans="1:16">
      <c r="A22" s="78" t="s">
        <v>168</v>
      </c>
      <c r="B22" s="457" t="str">
        <f t="shared" ref="B22:B27" si="6">B76</f>
        <v>Strategic innovation input for RORE</v>
      </c>
      <c r="C22" s="456" t="s">
        <v>158</v>
      </c>
      <c r="D22" s="334">
        <f>IFERROR(ORA_3/NPV_neutral_equity_element_of_RAV,0)</f>
        <v>0</v>
      </c>
      <c r="E22" s="334">
        <f>IFERROR(ORA_3/NPV_neutral_equity_element_of_RAV,0)</f>
        <v>0</v>
      </c>
      <c r="F22" s="334">
        <f>IFERROR(ORA_3/NPV_neutral_equity_element_of_RAV,0)</f>
        <v>0</v>
      </c>
      <c r="G22" s="334">
        <f>IFERROR(ORA_3/NPV_neutral_equity_element_of_RAV,0)</f>
        <v>0</v>
      </c>
      <c r="H22" s="334">
        <f>IFERROR(ORA_3/NPV_neutral_equity_element_of_RAV,0)</f>
        <v>0</v>
      </c>
      <c r="I22" s="80"/>
      <c r="J22" s="180">
        <f>IFERROR(AVERAGE(D77:INDEX(D77:H77,0,MATCH('RFPR cover'!$C$9,$D$6:$H$6,0)))/AVERAGE($D$90:INDEX($D$90:$H$90,0,MATCH('RFPR cover'!$C$9,$D$6:$H$6,0))),0)</f>
        <v>0</v>
      </c>
      <c r="K22" s="180">
        <f t="shared" ref="K22:K27" si="7">IFERROR(AVERAGE(D77:H77)/AVERAGE($D$90:$H$90),0)</f>
        <v>0</v>
      </c>
      <c r="N22" s="310"/>
      <c r="P22" s="471"/>
    </row>
    <row r="23" spans="1:16">
      <c r="A23" s="78" t="s">
        <v>169</v>
      </c>
      <c r="B23" s="457" t="str">
        <f t="shared" si="6"/>
        <v/>
      </c>
      <c r="C23" s="456" t="s">
        <v>158</v>
      </c>
      <c r="D23" s="334">
        <f>IFERROR(ORA_4/NPV_neutral_equity_element_of_RAV,0)</f>
        <v>0</v>
      </c>
      <c r="E23" s="334">
        <f>IFERROR(ORA_4/NPV_neutral_equity_element_of_RAV,0)</f>
        <v>0</v>
      </c>
      <c r="F23" s="334">
        <f>IFERROR(ORA_4/NPV_neutral_equity_element_of_RAV,0)</f>
        <v>0</v>
      </c>
      <c r="G23" s="334">
        <f>IFERROR(ORA_4/NPV_neutral_equity_element_of_RAV,0)</f>
        <v>0</v>
      </c>
      <c r="H23" s="334">
        <f>IFERROR(ORA_4/NPV_neutral_equity_element_of_RAV,0)</f>
        <v>0</v>
      </c>
      <c r="I23" s="80"/>
      <c r="J23" s="180">
        <f>IFERROR(AVERAGE(D78:INDEX(D78:H78,0,MATCH('RFPR cover'!$C$9,$D$6:$H$6,0)))/AVERAGE($D$90:INDEX($D$90:$H$90,0,MATCH('RFPR cover'!$C$9,$D$6:$H$6,0))),0)</f>
        <v>0</v>
      </c>
      <c r="K23" s="180">
        <f t="shared" si="7"/>
        <v>0</v>
      </c>
      <c r="N23" s="310"/>
      <c r="P23" s="471"/>
    </row>
    <row r="24" spans="1:16">
      <c r="A24" s="78" t="s">
        <v>170</v>
      </c>
      <c r="B24" s="457" t="str">
        <f t="shared" si="6"/>
        <v/>
      </c>
      <c r="C24" s="456" t="s">
        <v>158</v>
      </c>
      <c r="D24" s="334">
        <f>IFERROR(ORA_5/NPV_neutral_equity_element_of_RAV,0)</f>
        <v>0</v>
      </c>
      <c r="E24" s="334">
        <f>IFERROR(ORA_5/NPV_neutral_equity_element_of_RAV,0)</f>
        <v>0</v>
      </c>
      <c r="F24" s="334">
        <f>IFERROR(ORA_5/NPV_neutral_equity_element_of_RAV,0)</f>
        <v>0</v>
      </c>
      <c r="G24" s="334">
        <f>IFERROR(ORA_5/NPV_neutral_equity_element_of_RAV,0)</f>
        <v>0</v>
      </c>
      <c r="H24" s="334">
        <f>IFERROR(ORA_5/NPV_neutral_equity_element_of_RAV,0)</f>
        <v>0</v>
      </c>
      <c r="I24" s="80"/>
      <c r="J24" s="180">
        <f>IFERROR(AVERAGE(D79:INDEX(D79:H79,0,MATCH('RFPR cover'!$C$9,$D$6:$H$6,0)))/AVERAGE($D$90:INDEX($D$90:$H$90,0,MATCH('RFPR cover'!$C$9,$D$6:$H$6,0))),0)</f>
        <v>0</v>
      </c>
      <c r="K24" s="180">
        <f t="shared" si="7"/>
        <v>0</v>
      </c>
      <c r="N24" s="310"/>
      <c r="P24" s="471"/>
    </row>
    <row r="25" spans="1:16">
      <c r="A25" s="78" t="s">
        <v>171</v>
      </c>
      <c r="B25" s="457" t="str">
        <f t="shared" si="6"/>
        <v/>
      </c>
      <c r="C25" s="456" t="s">
        <v>158</v>
      </c>
      <c r="D25" s="334">
        <f>IFERROR(ORA_6/NPV_neutral_equity_element_of_RAV,0)</f>
        <v>0</v>
      </c>
      <c r="E25" s="334">
        <f>IFERROR(ORA_6/NPV_neutral_equity_element_of_RAV,0)</f>
        <v>0</v>
      </c>
      <c r="F25" s="334">
        <f>IFERROR(ORA_6/NPV_neutral_equity_element_of_RAV,0)</f>
        <v>0</v>
      </c>
      <c r="G25" s="334">
        <f>IFERROR(ORA_6/NPV_neutral_equity_element_of_RAV,0)</f>
        <v>0</v>
      </c>
      <c r="H25" s="334">
        <f>IFERROR(ORA_6/NPV_neutral_equity_element_of_RAV,0)</f>
        <v>0</v>
      </c>
      <c r="I25" s="80"/>
      <c r="J25" s="180">
        <f>IFERROR(AVERAGE(D80:INDEX(D80:H80,0,MATCH('RFPR cover'!$C$9,$D$6:$H$6,0)))/AVERAGE($D$90:INDEX($D$90:$H$90,0,MATCH('RFPR cover'!$C$9,$D$6:$H$6,0))),0)</f>
        <v>0</v>
      </c>
      <c r="K25" s="180">
        <f t="shared" si="7"/>
        <v>0</v>
      </c>
      <c r="N25" s="310"/>
      <c r="P25" s="471"/>
    </row>
    <row r="26" spans="1:16">
      <c r="A26" s="78" t="s">
        <v>172</v>
      </c>
      <c r="B26" s="457" t="str">
        <f t="shared" si="6"/>
        <v/>
      </c>
      <c r="C26" s="456" t="s">
        <v>158</v>
      </c>
      <c r="D26" s="334">
        <f>IFERROR(ORA_7/NPV_neutral_equity_element_of_RAV,0)</f>
        <v>0</v>
      </c>
      <c r="E26" s="334">
        <f>IFERROR(ORA_7/NPV_neutral_equity_element_of_RAV,0)</f>
        <v>0</v>
      </c>
      <c r="F26" s="334">
        <f>IFERROR(ORA_7/NPV_neutral_equity_element_of_RAV,0)</f>
        <v>0</v>
      </c>
      <c r="G26" s="334">
        <f>IFERROR(ORA_7/NPV_neutral_equity_element_of_RAV,0)</f>
        <v>0</v>
      </c>
      <c r="H26" s="334">
        <f>IFERROR(ORA_7/NPV_neutral_equity_element_of_RAV,0)</f>
        <v>0</v>
      </c>
      <c r="I26" s="80"/>
      <c r="J26" s="180">
        <f>IFERROR(AVERAGE(D81:INDEX(D81:H81,0,MATCH('RFPR cover'!$C$9,$D$6:$H$6,0)))/AVERAGE($D$90:INDEX($D$90:$H$90,0,MATCH('RFPR cover'!$C$9,$D$6:$H$6,0))),0)</f>
        <v>0</v>
      </c>
      <c r="K26" s="180">
        <f t="shared" si="7"/>
        <v>0</v>
      </c>
      <c r="N26" s="310"/>
      <c r="P26" s="471"/>
    </row>
    <row r="27" spans="1:16">
      <c r="A27" s="78" t="s">
        <v>173</v>
      </c>
      <c r="B27" s="457" t="str">
        <f t="shared" si="6"/>
        <v/>
      </c>
      <c r="C27" s="456" t="s">
        <v>158</v>
      </c>
      <c r="D27" s="334">
        <f>IFERROR(ORA_8/NPV_neutral_equity_element_of_RAV,0)</f>
        <v>0</v>
      </c>
      <c r="E27" s="334">
        <f>IFERROR(ORA_8/NPV_neutral_equity_element_of_RAV,0)</f>
        <v>0</v>
      </c>
      <c r="F27" s="334">
        <f>IFERROR(ORA_8/NPV_neutral_equity_element_of_RAV,0)</f>
        <v>0</v>
      </c>
      <c r="G27" s="334">
        <f>IFERROR(ORA_8/NPV_neutral_equity_element_of_RAV,0)</f>
        <v>0</v>
      </c>
      <c r="H27" s="334">
        <f>IFERROR(ORA_8/NPV_neutral_equity_element_of_RAV,0)</f>
        <v>0</v>
      </c>
      <c r="I27" s="80"/>
      <c r="J27" s="665">
        <f>IFERROR(AVERAGE(D82:INDEX(D82:H82,0,MATCH('RFPR cover'!$C$9,$D$6:$H$6,0)))/AVERAGE($D$90:INDEX($D$90:$H$90,0,MATCH('RFPR cover'!$C$9,$D$6:$H$6,0))),0)</f>
        <v>0</v>
      </c>
      <c r="K27" s="665">
        <f t="shared" si="7"/>
        <v>0</v>
      </c>
      <c r="N27" s="310"/>
      <c r="P27" s="471"/>
    </row>
    <row r="28" spans="1:16" ht="13.5" thickBot="1">
      <c r="B28" s="457" t="str">
        <f t="shared" ref="B28:B30" si="8">B82</f>
        <v>Penalties and fines (Other Activities)</v>
      </c>
      <c r="C28" s="456" t="s">
        <v>158</v>
      </c>
      <c r="D28" s="440">
        <f>IFERROR(Penalties_and_fines/NPV_neutral_equity_element_of_RAV,0)</f>
        <v>0</v>
      </c>
      <c r="E28" s="440">
        <f>IFERROR(Penalties_and_fines/NPV_neutral_equity_element_of_RAV,0)</f>
        <v>0</v>
      </c>
      <c r="F28" s="440">
        <f>IFERROR(Penalties_and_fines/NPV_neutral_equity_element_of_RAV,0)</f>
        <v>0</v>
      </c>
      <c r="G28" s="440">
        <f>IFERROR(Penalties_and_fines/NPV_neutral_equity_element_of_RAV,0)</f>
        <v>0</v>
      </c>
      <c r="H28" s="440">
        <f>IFERROR(Penalties_and_fines/NPV_neutral_equity_element_of_RAV,0)</f>
        <v>0</v>
      </c>
      <c r="I28" s="80"/>
      <c r="J28" s="445">
        <f>IFERROR(AVERAGE(D82:INDEX(D82:H82,0,MATCH('RFPR cover'!$C$9,$D$6:$H$6,0)))/AVERAGE($D$90:INDEX($D$90:$H$90,0,MATCH('RFPR cover'!$C$9,$D$6:$H$6,0))),0)</f>
        <v>0</v>
      </c>
      <c r="K28" s="445">
        <f>IFERROR(AVERAGE(D82:H82)/AVERAGE($D$90:$H$90),0)</f>
        <v>0</v>
      </c>
      <c r="N28" s="310"/>
      <c r="P28" s="471"/>
    </row>
    <row r="29" spans="1:16" ht="13.5" thickBot="1">
      <c r="B29" s="458" t="str">
        <f t="shared" si="8"/>
        <v>RoRE - Operational performance</v>
      </c>
      <c r="C29" s="172" t="s">
        <v>158</v>
      </c>
      <c r="D29" s="442">
        <f>SUM(D11:D28)</f>
        <v>4.621754757022576E-2</v>
      </c>
      <c r="E29" s="443">
        <f t="shared" ref="E29:H29" si="9">SUM(E11:E28)</f>
        <v>4.8296740709143852E-2</v>
      </c>
      <c r="F29" s="443">
        <f t="shared" si="9"/>
        <v>4.5829337050718955E-2</v>
      </c>
      <c r="G29" s="443">
        <f t="shared" si="9"/>
        <v>4.5943480982354186E-2</v>
      </c>
      <c r="H29" s="444">
        <f t="shared" si="9"/>
        <v>4.5883603657025041E-2</v>
      </c>
      <c r="I29" s="81"/>
      <c r="J29" s="447">
        <f>SUM(J11:J28)</f>
        <v>4.621754757022576E-2</v>
      </c>
      <c r="K29" s="444">
        <f>SUM(K11:K28)</f>
        <v>4.6385449377793903E-2</v>
      </c>
      <c r="N29" s="310"/>
      <c r="P29" s="471"/>
    </row>
    <row r="30" spans="1:16">
      <c r="B30" s="457" t="str">
        <f t="shared" si="8"/>
        <v>Debt performance - at notional gearing</v>
      </c>
      <c r="C30" s="456" t="s">
        <v>158</v>
      </c>
      <c r="D30" s="441">
        <f>IFERROR(Debt_performance___at_notional_gearing/NPV_neutral_equity_element_of_RAV,0)</f>
        <v>6.6259196262985098E-2</v>
      </c>
      <c r="E30" s="441">
        <f>IFERROR(Debt_performance___at_notional_gearing/NPV_neutral_equity_element_of_RAV,0)</f>
        <v>0.10145421995683965</v>
      </c>
      <c r="F30" s="441">
        <f>IFERROR(Debt_performance___at_notional_gearing/NPV_neutral_equity_element_of_RAV,0)</f>
        <v>3.7690542625493165E-2</v>
      </c>
      <c r="G30" s="441">
        <f>IFERROR(Debt_performance___at_notional_gearing/NPV_neutral_equity_element_of_RAV,0)</f>
        <v>1.2566484898744014E-2</v>
      </c>
      <c r="H30" s="441">
        <f>IFERROR(Debt_performance___at_notional_gearing/NPV_neutral_equity_element_of_RAV,0)</f>
        <v>1.5937141732564327E-2</v>
      </c>
      <c r="I30" s="80"/>
      <c r="J30" s="446">
        <f>IFERROR(AVERAGE(D84:INDEX(D84:H84,0,MATCH('RFPR cover'!$C$9,$D$6:$H$6,0)))/AVERAGE($D$90:INDEX($D$90:$H$90,0,MATCH('RFPR cover'!$C$9,$D$6:$H$6,0))),0)</f>
        <v>6.6259196262985098E-2</v>
      </c>
      <c r="K30" s="446">
        <f>IFERROR(AVERAGE(D84:H84)/AVERAGE($D$90:$H$90),0)</f>
        <v>4.3919687895926089E-2</v>
      </c>
      <c r="N30" s="310"/>
      <c r="P30" s="471"/>
    </row>
    <row r="31" spans="1:16" ht="13.5" thickBot="1">
      <c r="B31" s="457" t="str">
        <f>B86</f>
        <v>Tax performance - at notional gearing</v>
      </c>
      <c r="C31" s="456" t="s">
        <v>158</v>
      </c>
      <c r="D31" s="440">
        <f>IFERROR(Tax_performance___at_notional_gearing/NPV_neutral_equity_element_of_RAV,0)</f>
        <v>-1.8315495308807772E-2</v>
      </c>
      <c r="E31" s="440">
        <f>IFERROR(Tax_performance___at_notional_gearing/NPV_neutral_equity_element_of_RAV,0)</f>
        <v>-2.8019312380234203E-2</v>
      </c>
      <c r="F31" s="440">
        <f>IFERROR(Tax_performance___at_notional_gearing/NPV_neutral_equity_element_of_RAV,0)</f>
        <v>-1.3515815152605287E-2</v>
      </c>
      <c r="G31" s="440">
        <f>IFERROR(Tax_performance___at_notional_gearing/NPV_neutral_equity_element_of_RAV,0)</f>
        <v>-8.4872540721963388E-3</v>
      </c>
      <c r="H31" s="440">
        <f>IFERROR(Tax_performance___at_notional_gearing/NPV_neutral_equity_element_of_RAV,0)</f>
        <v>-1.122758281275432E-2</v>
      </c>
      <c r="I31" s="80"/>
      <c r="J31" s="85">
        <f>IFERROR(AVERAGE(D86:INDEX(D86:H86,0,MATCH('RFPR cover'!$C$9,$D$6:$H$6,0)))/AVERAGE($D$90:INDEX($D$90:$H$90,0,MATCH('RFPR cover'!$C$9,$D$6:$H$6,0))),0)</f>
        <v>-1.8315495308807772E-2</v>
      </c>
      <c r="K31" s="85">
        <f>IFERROR(AVERAGE(D86:H86)/AVERAGE($D$90:$H$90),0)</f>
        <v>-1.5400026441501624E-2</v>
      </c>
      <c r="N31" s="310"/>
      <c r="P31" s="471"/>
    </row>
    <row r="32" spans="1:16" ht="13.5" thickBot="1">
      <c r="B32" s="458" t="str">
        <f>B88</f>
        <v>RoRE - including financing and tax</v>
      </c>
      <c r="C32" s="172" t="s">
        <v>158</v>
      </c>
      <c r="D32" s="442">
        <f>SUM(D29:D31)</f>
        <v>9.4161248524403079E-2</v>
      </c>
      <c r="E32" s="443">
        <f t="shared" ref="E32:H32" si="10">SUM(E29:E31)</f>
        <v>0.12173164828574931</v>
      </c>
      <c r="F32" s="443">
        <f t="shared" si="10"/>
        <v>7.0004064523606829E-2</v>
      </c>
      <c r="G32" s="443">
        <f t="shared" si="10"/>
        <v>5.002271180890186E-2</v>
      </c>
      <c r="H32" s="444">
        <f t="shared" si="10"/>
        <v>5.0593162576835049E-2</v>
      </c>
      <c r="I32" s="81"/>
      <c r="J32" s="447">
        <f>SUM(J29:J31)</f>
        <v>9.4161248524403079E-2</v>
      </c>
      <c r="K32" s="444">
        <f>SUM(K29:K31)</f>
        <v>7.4905110832218375E-2</v>
      </c>
      <c r="N32" s="310"/>
      <c r="P32" s="471"/>
    </row>
    <row r="36" spans="1:13">
      <c r="B36" s="189" t="s">
        <v>174</v>
      </c>
      <c r="C36" s="98"/>
      <c r="D36" s="98"/>
      <c r="E36" s="98"/>
      <c r="F36" s="98"/>
      <c r="G36" s="98"/>
      <c r="H36" s="98"/>
      <c r="I36" s="190"/>
      <c r="J36" s="98"/>
      <c r="K36" s="98"/>
      <c r="L36" s="98"/>
    </row>
    <row r="37" spans="1:13">
      <c r="B37" s="89"/>
      <c r="I37" s="27"/>
    </row>
    <row r="38" spans="1:13">
      <c r="B38" s="457" t="s">
        <v>157</v>
      </c>
      <c r="C38" s="456" t="s">
        <v>158</v>
      </c>
      <c r="D38" s="334">
        <f>IFERROR(Equity_Return_on_the_RAV/Equity_RAV_based_on_actual_gearing,0)</f>
        <v>4.1587697785634363E-2</v>
      </c>
      <c r="E38" s="334">
        <f>IFERROR(Equity_Return_on_the_RAV/Equity_RAV_based_on_actual_gearing,0)</f>
        <v>4.2622588282271293E-2</v>
      </c>
      <c r="F38" s="334">
        <f>IFERROR(Equity_Return_on_the_RAV/Equity_RAV_based_on_actual_gearing,0)</f>
        <v>4.4126718883174404E-2</v>
      </c>
      <c r="G38" s="334">
        <f>IFERROR(Equity_Return_on_the_RAV/Equity_RAV_based_on_actual_gearing,0)</f>
        <v>4.3621687184077274E-2</v>
      </c>
      <c r="H38" s="334">
        <f>IFERROR(Equity_Return_on_the_RAV/Equity_RAV_based_on_actual_gearing,0)</f>
        <v>4.2685452444444452E-2</v>
      </c>
      <c r="I38" s="80"/>
      <c r="J38" s="82">
        <f>IFERROR(AVERAGE(D65:INDEX(D65:H65,0,MATCH('RFPR cover'!$C$9,$D$6:$H$6,0)))/AVERAGE($D$91:INDEX($D$91:$H$91,0,MATCH('RFPR cover'!$C$9,$D$6:$H$6,0))),0)</f>
        <v>4.1587697785634363E-2</v>
      </c>
      <c r="K38" s="180">
        <f t="shared" ref="K38:K48" si="11">IFERROR(AVERAGE(D65:H65)/AVERAGE($D$91:$H$91),0)</f>
        <v>4.2954512978673094E-2</v>
      </c>
      <c r="M38" s="130"/>
    </row>
    <row r="39" spans="1:13">
      <c r="B39" s="457" t="str">
        <f t="shared" ref="B39:B46" si="12">B66</f>
        <v>Totex outperformance</v>
      </c>
      <c r="C39" s="456" t="s">
        <v>158</v>
      </c>
      <c r="D39" s="334">
        <f>IFERROR(Totex_outperformance/Equity_RAV_based_on_actual_gearing,0)</f>
        <v>0</v>
      </c>
      <c r="E39" s="334">
        <f>IFERROR(Totex_outperformance/Equity_RAV_based_on_actual_gearing,0)</f>
        <v>0</v>
      </c>
      <c r="F39" s="334">
        <f>IFERROR(Totex_outperformance/Equity_RAV_based_on_actual_gearing,0)</f>
        <v>0</v>
      </c>
      <c r="G39" s="334">
        <f>IFERROR(Totex_outperformance/Equity_RAV_based_on_actual_gearing,0)</f>
        <v>0</v>
      </c>
      <c r="H39" s="334">
        <f>IFERROR(Totex_outperformance/Equity_RAV_based_on_actual_gearing,0)</f>
        <v>0</v>
      </c>
      <c r="I39" s="80"/>
      <c r="J39" s="82">
        <f>IFERROR(AVERAGE(D66:INDEX(D66:H66,0,MATCH('RFPR cover'!$C$9,$D$6:$H$6,0)))/AVERAGE($D$91:INDEX($D$91:$H$91,0,MATCH('RFPR cover'!$C$9,$D$6:$H$6,0))),0)</f>
        <v>0</v>
      </c>
      <c r="K39" s="180">
        <f t="shared" si="11"/>
        <v>0</v>
      </c>
    </row>
    <row r="40" spans="1:13">
      <c r="A40" s="78" t="s">
        <v>159</v>
      </c>
      <c r="B40" s="457" t="str">
        <f t="shared" si="12"/>
        <v>Business Plan Incentive</v>
      </c>
      <c r="C40" s="456" t="s">
        <v>158</v>
      </c>
      <c r="D40" s="334">
        <f>IFERROR(Business_Plan_Incentive/Equity_RAV_based_on_actual_gearing,0)</f>
        <v>9.0509441505726748E-4</v>
      </c>
      <c r="E40" s="334">
        <f>IFERROR(Business_Plan_Incentive/Equity_RAV_based_on_actual_gearing,0)</f>
        <v>8.703384279653111E-4</v>
      </c>
      <c r="F40" s="334">
        <f>IFERROR(Business_Plan_Incentive/Equity_RAV_based_on_actual_gearing,0)</f>
        <v>8.3169548172376366E-4</v>
      </c>
      <c r="G40" s="334">
        <f>IFERROR(Business_Plan_Incentive/Equity_RAV_based_on_actual_gearing,0)</f>
        <v>7.6544696503139781E-4</v>
      </c>
      <c r="H40" s="334">
        <f>IFERROR(Business_Plan_Incentive/Equity_RAV_based_on_actual_gearing,0)</f>
        <v>6.9074664821549517E-4</v>
      </c>
      <c r="I40" s="80"/>
      <c r="J40" s="82">
        <f>IFERROR(AVERAGE(D67:INDEX(D67:H67,0,MATCH('RFPR cover'!$C$9,$D$6:$H$6,0)))/AVERAGE($D$91:INDEX($D$91:$H$91,0,MATCH('RFPR cover'!$C$9,$D$6:$H$6,0))),0)</f>
        <v>9.0509441505726748E-4</v>
      </c>
      <c r="K40" s="180">
        <f t="shared" si="11"/>
        <v>8.0510972400762613E-4</v>
      </c>
    </row>
    <row r="41" spans="1:13">
      <c r="A41" s="78" t="s">
        <v>160</v>
      </c>
      <c r="B41" s="457" t="str">
        <f t="shared" si="12"/>
        <v xml:space="preserve">Energy not supplied ODI </v>
      </c>
      <c r="C41" s="456" t="s">
        <v>158</v>
      </c>
      <c r="D41" s="334">
        <f>IFERROR(ODI_1/Equity_RAV_based_on_actual_gearing,0)</f>
        <v>1.2099482442533786E-3</v>
      </c>
      <c r="E41" s="334">
        <f>IFERROR(ODI_1/Equity_RAV_based_on_actual_gearing,0)</f>
        <v>9.993981074771952E-4</v>
      </c>
      <c r="F41" s="334">
        <f>IFERROR(ODI_1/Equity_RAV_based_on_actual_gearing,0)</f>
        <v>9.5502492332234746E-4</v>
      </c>
      <c r="G41" s="334">
        <f>IFERROR(ODI_1/Equity_RAV_based_on_actual_gearing,0)</f>
        <v>8.7895262767488842E-4</v>
      </c>
      <c r="H41" s="334">
        <f>IFERROR(ODI_1/Equity_RAV_based_on_actual_gearing,0)</f>
        <v>7.931752417121771E-4</v>
      </c>
      <c r="I41" s="80"/>
      <c r="J41" s="82">
        <f>IFERROR(AVERAGE(D68:INDEX(D68:H68,0,MATCH('RFPR cover'!$C$9,$D$6:$H$6,0)))/AVERAGE($D$91:INDEX($D$91:$H$91,0,MATCH('RFPR cover'!$C$9,$D$6:$H$6,0))),0)</f>
        <v>1.2099482442533786E-3</v>
      </c>
      <c r="K41" s="180">
        <f t="shared" si="11"/>
        <v>9.5485482294221035E-4</v>
      </c>
    </row>
    <row r="42" spans="1:13">
      <c r="A42" s="78" t="s">
        <v>161</v>
      </c>
      <c r="B42" s="457" t="str">
        <f t="shared" si="12"/>
        <v xml:space="preserve">Insulation And Interruption Gas emissions ODI </v>
      </c>
      <c r="C42" s="456" t="s">
        <v>158</v>
      </c>
      <c r="D42" s="334">
        <f>IFERROR(ODI_2/Equity_RAV_based_on_actual_gearing,0)</f>
        <v>1.0206706498507934E-3</v>
      </c>
      <c r="E42" s="334">
        <f>IFERROR(ODI_2/Equity_RAV_based_on_actual_gearing,0)</f>
        <v>1.1046336615480852E-3</v>
      </c>
      <c r="F42" s="334">
        <f>IFERROR(ODI_2/Equity_RAV_based_on_actual_gearing,0)</f>
        <v>1.0870008931221753E-3</v>
      </c>
      <c r="G42" s="334">
        <f>IFERROR(ODI_2/Equity_RAV_based_on_actual_gearing,0)</f>
        <v>1.0208709893564573E-3</v>
      </c>
      <c r="H42" s="334">
        <f>IFERROR(ODI_2/Equity_RAV_based_on_actual_gearing,0)</f>
        <v>8.7473108836489994E-4</v>
      </c>
      <c r="I42" s="80"/>
      <c r="J42" s="82">
        <f>IFERROR(AVERAGE(D69:INDEX(D69:H69,0,MATCH('RFPR cover'!$C$9,$D$6:$H$6,0)))/AVERAGE($D$91:INDEX($D$91:$H$91,0,MATCH('RFPR cover'!$C$9,$D$6:$H$6,0))),0)</f>
        <v>1.0206706498507934E-3</v>
      </c>
      <c r="K42" s="180">
        <f t="shared" si="11"/>
        <v>1.0150684489803976E-3</v>
      </c>
    </row>
    <row r="43" spans="1:13">
      <c r="A43" s="78" t="s">
        <v>162</v>
      </c>
      <c r="B43" s="457" t="str">
        <f t="shared" si="12"/>
        <v xml:space="preserve">Timely Connections ODI </v>
      </c>
      <c r="C43" s="456" t="s">
        <v>158</v>
      </c>
      <c r="D43" s="334">
        <f>IFERROR(ODI_3/Equity_RAV_based_on_actual_gearing,0)</f>
        <v>0</v>
      </c>
      <c r="E43" s="334">
        <f>IFERROR(ODI_3/Equity_RAV_based_on_actual_gearing,0)</f>
        <v>0</v>
      </c>
      <c r="F43" s="334">
        <f>IFERROR(ODI_3/Equity_RAV_based_on_actual_gearing,0)</f>
        <v>0</v>
      </c>
      <c r="G43" s="334">
        <f>IFERROR(ODI_3/Equity_RAV_based_on_actual_gearing,0)</f>
        <v>0</v>
      </c>
      <c r="H43" s="334">
        <f>IFERROR(ODI_3/Equity_RAV_based_on_actual_gearing,0)</f>
        <v>0</v>
      </c>
      <c r="I43" s="80"/>
      <c r="J43" s="82">
        <f>IFERROR(AVERAGE(D70:INDEX(D70:H70,0,MATCH('RFPR cover'!$C$9,$D$6:$H$6,0)))/AVERAGE($D$91:INDEX($D$91:$H$91,0,MATCH('RFPR cover'!$C$9,$D$6:$H$6,0))),0)</f>
        <v>0</v>
      </c>
      <c r="K43" s="180">
        <f t="shared" si="11"/>
        <v>0</v>
      </c>
    </row>
    <row r="44" spans="1:13">
      <c r="A44" s="78" t="s">
        <v>163</v>
      </c>
      <c r="B44" s="457" t="str">
        <f t="shared" si="12"/>
        <v xml:space="preserve">Quality of connections satisfaction survey ODI </v>
      </c>
      <c r="C44" s="456" t="s">
        <v>158</v>
      </c>
      <c r="D44" s="334">
        <f>IFERROR(ODI_4/Equity_RAV_based_on_actual_gearing,0)</f>
        <v>3.4405333056173926E-4</v>
      </c>
      <c r="E44" s="334">
        <f>IFERROR(ODI_4/Equity_RAV_based_on_actual_gearing,0)</f>
        <v>7.9294525698624183E-4</v>
      </c>
      <c r="F44" s="334">
        <f>IFERROR(ODI_4/Equity_RAV_based_on_actual_gearing,0)</f>
        <v>9.8926978722265694E-4</v>
      </c>
      <c r="G44" s="334">
        <f>IFERROR(ODI_4/Equity_RAV_based_on_actual_gearing,0)</f>
        <v>1.0751291429223703E-3</v>
      </c>
      <c r="H44" s="334">
        <f>IFERROR(ODI_4/Equity_RAV_based_on_actual_gearing,0)</f>
        <v>1.1187970326788825E-3</v>
      </c>
      <c r="I44" s="80"/>
      <c r="J44" s="82">
        <f>IFERROR(AVERAGE(D71:INDEX(D71:H71,0,MATCH('RFPR cover'!$C$9,$D$6:$H$6,0)))/AVERAGE($D$91:INDEX($D$91:$H$91,0,MATCH('RFPR cover'!$C$9,$D$6:$H$6,0))),0)</f>
        <v>3.4405333056173926E-4</v>
      </c>
      <c r="K44" s="180">
        <f t="shared" si="11"/>
        <v>8.8641573596699274E-4</v>
      </c>
    </row>
    <row r="45" spans="1:13">
      <c r="A45" s="78" t="s">
        <v>164</v>
      </c>
      <c r="B45" s="457" t="str">
        <f t="shared" si="12"/>
        <v>SO-TO Optimisation ODI</v>
      </c>
      <c r="C45" s="456" t="s">
        <v>158</v>
      </c>
      <c r="D45" s="334">
        <f>IFERROR(ODI_5/Equity_RAV_based_on_actual_gearing,0)</f>
        <v>3.605896149588154E-4</v>
      </c>
      <c r="E45" s="334">
        <f>IFERROR(ODI_5/Equity_RAV_based_on_actual_gearing,0)</f>
        <v>2.1758460699132778E-3</v>
      </c>
      <c r="F45" s="334">
        <f>IFERROR(ODI_5/Equity_RAV_based_on_actual_gearing,0)</f>
        <v>0</v>
      </c>
      <c r="G45" s="334">
        <f>IFERROR(ODI_5/Equity_RAV_based_on_actual_gearing,0)</f>
        <v>0</v>
      </c>
      <c r="H45" s="334">
        <f>IFERROR(ODI_5/Equity_RAV_based_on_actual_gearing,0)</f>
        <v>0</v>
      </c>
      <c r="I45" s="80"/>
      <c r="J45" s="82">
        <f>IFERROR(AVERAGE(D72:INDEX(D72:H72,0,MATCH('RFPR cover'!$C$9,$D$6:$H$6,0)))/AVERAGE($D$91:INDEX($D$91:$H$91,0,MATCH('RFPR cover'!$C$9,$D$6:$H$6,0))),0)</f>
        <v>3.605896149588154E-4</v>
      </c>
      <c r="K45" s="180">
        <f t="shared" si="11"/>
        <v>4.667060048127407E-4</v>
      </c>
    </row>
    <row r="46" spans="1:13">
      <c r="A46" s="78" t="s">
        <v>165</v>
      </c>
      <c r="B46" s="457" t="str">
        <f t="shared" si="12"/>
        <v xml:space="preserve">Environmental scorecard ODI </v>
      </c>
      <c r="C46" s="456" t="s">
        <v>158</v>
      </c>
      <c r="D46" s="334">
        <f>IFERROR(ODI_6/Equity_RAV_based_on_actual_gearing,0)</f>
        <v>0</v>
      </c>
      <c r="E46" s="334">
        <f>IFERROR(ODI_6/Equity_RAV_based_on_actual_gearing,0)</f>
        <v>0</v>
      </c>
      <c r="F46" s="334">
        <f>IFERROR(ODI_6/Equity_RAV_based_on_actual_gearing,0)</f>
        <v>0</v>
      </c>
      <c r="G46" s="334">
        <f>IFERROR(ODI_6/Equity_RAV_based_on_actual_gearing,0)</f>
        <v>0</v>
      </c>
      <c r="H46" s="334">
        <f>IFERROR(ODI_6/Equity_RAV_based_on_actual_gearing,0)</f>
        <v>0</v>
      </c>
      <c r="I46" s="80"/>
      <c r="J46" s="82">
        <f>IFERROR(AVERAGE(D73:INDEX(D73:H73,0,MATCH('RFPR cover'!$C$9,$D$6:$H$6,0)))/AVERAGE($D$91:INDEX($D$91:$H$91,0,MATCH('RFPR cover'!$C$9,$D$6:$H$6,0))),0)</f>
        <v>0</v>
      </c>
      <c r="K46" s="180">
        <f t="shared" si="11"/>
        <v>0</v>
      </c>
    </row>
    <row r="47" spans="1:13">
      <c r="A47" s="78" t="s">
        <v>166</v>
      </c>
      <c r="B47" s="457" t="str">
        <f t="shared" ref="B47" si="13">B74</f>
        <v>Network innovation input for RORE</v>
      </c>
      <c r="C47" s="456" t="s">
        <v>158</v>
      </c>
      <c r="D47" s="334">
        <f>IFERROR(ORA_1/Equity_RAV_based_on_actual_gearing,0)</f>
        <v>-1.0582508699053988E-4</v>
      </c>
      <c r="E47" s="334">
        <f>IFERROR(ORA_1/Equity_RAV_based_on_actual_gearing,0)</f>
        <v>-2.6164838325333143E-4</v>
      </c>
      <c r="F47" s="334">
        <f>IFERROR(ORA_1/Equity_RAV_based_on_actual_gearing,0)</f>
        <v>-2.8062544527084619E-4</v>
      </c>
      <c r="G47" s="334">
        <f>IFERROR(ORA_1/Equity_RAV_based_on_actual_gearing,0)</f>
        <v>-2.5827228849188097E-4</v>
      </c>
      <c r="H47" s="334">
        <f>IFERROR(ORA_1/Equity_RAV_based_on_actual_gearing,0)</f>
        <v>-2.7929879839087168E-4</v>
      </c>
      <c r="I47" s="80"/>
      <c r="J47" s="82">
        <f>IFERROR(AVERAGE(D74:INDEX(D74:H74,0,MATCH('RFPR cover'!$C$9,$D$6:$H$6,0)))/AVERAGE($D$91:INDEX($D$91:$H$91,0,MATCH('RFPR cover'!$C$9,$D$6:$H$6,0))),0)</f>
        <v>-1.0582508699053988E-4</v>
      </c>
      <c r="K47" s="180">
        <f t="shared" si="11"/>
        <v>-2.4100486846804101E-4</v>
      </c>
    </row>
    <row r="48" spans="1:13">
      <c r="A48" s="78" t="s">
        <v>167</v>
      </c>
      <c r="B48" s="457" t="str">
        <f t="shared" ref="B48" si="14">B75</f>
        <v>Carry-over Network innovation input for RORE</v>
      </c>
      <c r="C48" s="456" t="s">
        <v>158</v>
      </c>
      <c r="D48" s="334">
        <f>IFERROR(ORA_2/Equity_RAV_based_on_actual_gearing,0)</f>
        <v>-3.2259106681575816E-5</v>
      </c>
      <c r="E48" s="334">
        <f>IFERROR(ORA_2/Equity_RAV_based_on_actual_gearing,0)</f>
        <v>0</v>
      </c>
      <c r="F48" s="334">
        <f>IFERROR(ORA_2/Equity_RAV_based_on_actual_gearing,0)</f>
        <v>0</v>
      </c>
      <c r="G48" s="334">
        <f>IFERROR(ORA_2/Equity_RAV_based_on_actual_gearing,0)</f>
        <v>0</v>
      </c>
      <c r="H48" s="334">
        <f>IFERROR(ORA_2/Equity_RAV_based_on_actual_gearing,0)</f>
        <v>0</v>
      </c>
      <c r="I48" s="80"/>
      <c r="J48" s="82">
        <f>IFERROR(AVERAGE(D75:INDEX(D75:H75,0,MATCH('RFPR cover'!$C$9,$D$6:$H$6,0)))/AVERAGE($D$91:INDEX($D$91:$H$91,0,MATCH('RFPR cover'!$C$9,$D$6:$H$6,0))),0)</f>
        <v>-3.2259106681575816E-5</v>
      </c>
      <c r="K48" s="180">
        <f t="shared" si="11"/>
        <v>-5.7390963959252263E-6</v>
      </c>
    </row>
    <row r="49" spans="1:12">
      <c r="A49" s="78" t="s">
        <v>168</v>
      </c>
      <c r="B49" s="673" t="str">
        <f>B76</f>
        <v>Strategic innovation input for RORE</v>
      </c>
      <c r="C49" s="456" t="s">
        <v>158</v>
      </c>
      <c r="D49" s="334">
        <f>IFERROR(ORA_3/Equity_RAV_based_on_actual_gearing,0)</f>
        <v>0</v>
      </c>
      <c r="E49" s="334">
        <f>IFERROR(ORA_3/Equity_RAV_based_on_actual_gearing,0)</f>
        <v>0</v>
      </c>
      <c r="F49" s="334">
        <f>IFERROR(ORA_3/Equity_RAV_based_on_actual_gearing,0)</f>
        <v>0</v>
      </c>
      <c r="G49" s="334">
        <f>IFERROR(ORA_3/Equity_RAV_based_on_actual_gearing,0)</f>
        <v>0</v>
      </c>
      <c r="H49" s="334">
        <f>IFERROR(ORA_3/Equity_RAV_based_on_actual_gearing,0)</f>
        <v>0</v>
      </c>
      <c r="I49" s="80"/>
      <c r="J49" s="82">
        <f>IFERROR(AVERAGE(D77:INDEX(D77:H77,0,MATCH('RFPR cover'!$C$9,$D$6:$H$6,0)))/AVERAGE($D$91:INDEX($D$91:$H$91,0,MATCH('RFPR cover'!$C$9,$D$6:$H$6,0))),0)</f>
        <v>0</v>
      </c>
      <c r="K49" s="180">
        <f t="shared" ref="K49:K54" si="15">IFERROR(AVERAGE(D77:H77)/AVERAGE($D$91:$H$91),0)</f>
        <v>0</v>
      </c>
    </row>
    <row r="50" spans="1:12">
      <c r="A50" s="78" t="s">
        <v>169</v>
      </c>
      <c r="B50" s="457" t="str">
        <f t="shared" ref="B50:B54" si="16">B77</f>
        <v/>
      </c>
      <c r="C50" s="456" t="s">
        <v>158</v>
      </c>
      <c r="D50" s="334">
        <f>IFERROR(ORA_4/Equity_RAV_based_on_actual_gearing,0)</f>
        <v>0</v>
      </c>
      <c r="E50" s="334">
        <f>IFERROR(ORA_4/Equity_RAV_based_on_actual_gearing,0)</f>
        <v>0</v>
      </c>
      <c r="F50" s="334">
        <f>IFERROR(ORA_4/Equity_RAV_based_on_actual_gearing,0)</f>
        <v>0</v>
      </c>
      <c r="G50" s="334">
        <f>IFERROR(ORA_4/Equity_RAV_based_on_actual_gearing,0)</f>
        <v>0</v>
      </c>
      <c r="H50" s="334">
        <f>IFERROR(ORA_4/Equity_RAV_based_on_actual_gearing,0)</f>
        <v>0</v>
      </c>
      <c r="I50" s="80"/>
      <c r="J50" s="82">
        <f>IFERROR(AVERAGE(D78:INDEX(D78:H78,0,MATCH('RFPR cover'!$C$9,$D$6:$H$6,0)))/AVERAGE($D$91:INDEX($D$91:$H$91,0,MATCH('RFPR cover'!$C$9,$D$6:$H$6,0))),0)</f>
        <v>0</v>
      </c>
      <c r="K50" s="180">
        <f t="shared" si="15"/>
        <v>0</v>
      </c>
    </row>
    <row r="51" spans="1:12">
      <c r="A51" s="78" t="s">
        <v>170</v>
      </c>
      <c r="B51" s="457" t="str">
        <f t="shared" si="16"/>
        <v/>
      </c>
      <c r="C51" s="456" t="s">
        <v>158</v>
      </c>
      <c r="D51" s="334">
        <f>IFERROR(ORA_5/Equity_RAV_based_on_actual_gearing,0)</f>
        <v>0</v>
      </c>
      <c r="E51" s="334">
        <f>IFERROR(ORA_5/Equity_RAV_based_on_actual_gearing,0)</f>
        <v>0</v>
      </c>
      <c r="F51" s="334">
        <f>IFERROR(ORA_5/Equity_RAV_based_on_actual_gearing,0)</f>
        <v>0</v>
      </c>
      <c r="G51" s="334">
        <f>IFERROR(ORA_5/Equity_RAV_based_on_actual_gearing,0)</f>
        <v>0</v>
      </c>
      <c r="H51" s="334">
        <f>IFERROR(ORA_5/Equity_RAV_based_on_actual_gearing,0)</f>
        <v>0</v>
      </c>
      <c r="I51" s="80"/>
      <c r="J51" s="82">
        <f>IFERROR(AVERAGE(D79:INDEX(D79:H79,0,MATCH('RFPR cover'!$C$9,$D$6:$H$6,0)))/AVERAGE($D$91:INDEX($D$91:$H$91,0,MATCH('RFPR cover'!$C$9,$D$6:$H$6,0))),0)</f>
        <v>0</v>
      </c>
      <c r="K51" s="180">
        <f t="shared" si="15"/>
        <v>0</v>
      </c>
    </row>
    <row r="52" spans="1:12">
      <c r="A52" s="78" t="s">
        <v>171</v>
      </c>
      <c r="B52" s="457" t="str">
        <f t="shared" si="16"/>
        <v/>
      </c>
      <c r="C52" s="456" t="s">
        <v>158</v>
      </c>
      <c r="D52" s="334">
        <f>IFERROR(ORA_6/Equity_RAV_based_on_actual_gearing,0)</f>
        <v>0</v>
      </c>
      <c r="E52" s="334">
        <f>IFERROR(ORA_6/Equity_RAV_based_on_actual_gearing,0)</f>
        <v>0</v>
      </c>
      <c r="F52" s="334">
        <f>IFERROR(ORA_6/Equity_RAV_based_on_actual_gearing,0)</f>
        <v>0</v>
      </c>
      <c r="G52" s="334">
        <f>IFERROR(ORA_6/Equity_RAV_based_on_actual_gearing,0)</f>
        <v>0</v>
      </c>
      <c r="H52" s="334">
        <f>IFERROR(ORA_6/Equity_RAV_based_on_actual_gearing,0)</f>
        <v>0</v>
      </c>
      <c r="I52" s="80"/>
      <c r="J52" s="82">
        <f>IFERROR(AVERAGE(D80:INDEX(D80:H80,0,MATCH('RFPR cover'!$C$9,$D$6:$H$6,0)))/AVERAGE($D$91:INDEX($D$91:$H$91,0,MATCH('RFPR cover'!$C$9,$D$6:$H$6,0))),0)</f>
        <v>0</v>
      </c>
      <c r="K52" s="180">
        <f t="shared" si="15"/>
        <v>0</v>
      </c>
    </row>
    <row r="53" spans="1:12">
      <c r="A53" s="78" t="s">
        <v>172</v>
      </c>
      <c r="B53" s="457" t="str">
        <f t="shared" si="16"/>
        <v/>
      </c>
      <c r="C53" s="456" t="s">
        <v>158</v>
      </c>
      <c r="D53" s="334">
        <f>IFERROR(ORA_7/Equity_RAV_based_on_actual_gearing,0)</f>
        <v>0</v>
      </c>
      <c r="E53" s="334">
        <f>IFERROR(ORA_7/Equity_RAV_based_on_actual_gearing,0)</f>
        <v>0</v>
      </c>
      <c r="F53" s="334">
        <f>IFERROR(ORA_7/Equity_RAV_based_on_actual_gearing,0)</f>
        <v>0</v>
      </c>
      <c r="G53" s="334">
        <f>IFERROR(ORA_7/Equity_RAV_based_on_actual_gearing,0)</f>
        <v>0</v>
      </c>
      <c r="H53" s="334">
        <f>IFERROR(ORA_7/Equity_RAV_based_on_actual_gearing,0)</f>
        <v>0</v>
      </c>
      <c r="I53" s="80"/>
      <c r="J53" s="82">
        <f>IFERROR(AVERAGE(D81:INDEX(D81:H81,0,MATCH('RFPR cover'!$C$9,$D$6:$H$6,0)))/AVERAGE($D$91:INDEX($D$91:$H$91,0,MATCH('RFPR cover'!$C$9,$D$6:$H$6,0))),0)</f>
        <v>0</v>
      </c>
      <c r="K53" s="180">
        <f t="shared" si="15"/>
        <v>0</v>
      </c>
    </row>
    <row r="54" spans="1:12">
      <c r="A54" s="78" t="s">
        <v>173</v>
      </c>
      <c r="B54" s="457" t="str">
        <f t="shared" si="16"/>
        <v/>
      </c>
      <c r="C54" s="456" t="s">
        <v>158</v>
      </c>
      <c r="D54" s="334">
        <f>IFERROR(ORA_8/Equity_RAV_based_on_actual_gearing,0)</f>
        <v>0</v>
      </c>
      <c r="E54" s="334">
        <f>IFERROR(ORA_8/Equity_RAV_based_on_actual_gearing,0)</f>
        <v>0</v>
      </c>
      <c r="F54" s="334">
        <f>IFERROR(ORA_8/Equity_RAV_based_on_actual_gearing,0)</f>
        <v>0</v>
      </c>
      <c r="G54" s="334">
        <f>IFERROR(ORA_8/Equity_RAV_based_on_actual_gearing,0)</f>
        <v>0</v>
      </c>
      <c r="H54" s="334">
        <f>IFERROR(ORA_8/Equity_RAV_based_on_actual_gearing,0)</f>
        <v>0</v>
      </c>
      <c r="I54" s="80"/>
      <c r="J54" s="666">
        <f>IFERROR(AVERAGE(D82:INDEX(D82:H82,0,MATCH('RFPR cover'!$C$9,$D$6:$H$6,0)))/AVERAGE($D$91:INDEX($D$91:$H$91,0,MATCH('RFPR cover'!$C$9,$D$6:$H$6,0))),0)</f>
        <v>0</v>
      </c>
      <c r="K54" s="665">
        <f t="shared" si="15"/>
        <v>0</v>
      </c>
    </row>
    <row r="55" spans="1:12" ht="13.5" thickBot="1">
      <c r="B55" s="457" t="str">
        <f t="shared" ref="B55:B56" si="17">B82</f>
        <v>Penalties and fines (Other Activities)</v>
      </c>
      <c r="C55" s="456" t="s">
        <v>158</v>
      </c>
      <c r="D55" s="440">
        <f>IFERROR(Penalties_and_fines/Equity_RAV_based_on_actual_gearing,0)</f>
        <v>0</v>
      </c>
      <c r="E55" s="440">
        <f>IFERROR(Penalties_and_fines/Equity_RAV_based_on_actual_gearing,0)</f>
        <v>0</v>
      </c>
      <c r="F55" s="440">
        <f>IFERROR(Penalties_and_fines/Equity_RAV_based_on_actual_gearing,0)</f>
        <v>0</v>
      </c>
      <c r="G55" s="440">
        <f>IFERROR(Penalties_and_fines/Equity_RAV_based_on_actual_gearing,0)</f>
        <v>0</v>
      </c>
      <c r="H55" s="440">
        <f>IFERROR(Penalties_and_fines/Equity_RAV_based_on_actual_gearing,0)</f>
        <v>0</v>
      </c>
      <c r="I55" s="80"/>
      <c r="J55" s="85">
        <f>IFERROR(AVERAGE(D82:INDEX(D82:H82,0,MATCH('RFPR cover'!$C$9,$D$6:$H$6,0)))/AVERAGE($D$91:INDEX($D$91:$H$91,0,MATCH('RFPR cover'!$C$9,$D$6:$H$6,0))),0)</f>
        <v>0</v>
      </c>
      <c r="K55" s="445">
        <f>IFERROR(AVERAGE(D82:H82)/AVERAGE($D$91:$H$91),0)</f>
        <v>0</v>
      </c>
    </row>
    <row r="56" spans="1:12" ht="13.5" thickBot="1">
      <c r="B56" s="458" t="str">
        <f t="shared" si="17"/>
        <v>RoRE - Operational performance</v>
      </c>
      <c r="C56" s="172" t="s">
        <v>158</v>
      </c>
      <c r="D56" s="442">
        <f t="shared" ref="D56:H56" si="18">SUM(D38:D55)</f>
        <v>4.5289969846644247E-2</v>
      </c>
      <c r="E56" s="443">
        <f t="shared" si="18"/>
        <v>4.8304101422908079E-2</v>
      </c>
      <c r="F56" s="443">
        <f t="shared" si="18"/>
        <v>4.7709084523294504E-2</v>
      </c>
      <c r="G56" s="443">
        <f t="shared" si="18"/>
        <v>4.7103814620570506E-2</v>
      </c>
      <c r="H56" s="444">
        <f t="shared" si="18"/>
        <v>4.5883603657025041E-2</v>
      </c>
      <c r="I56" s="81"/>
      <c r="J56" s="447">
        <f>SUM(J38:J55)</f>
        <v>4.5289969846644247E-2</v>
      </c>
      <c r="K56" s="444">
        <f>SUM(K38:K55)</f>
        <v>4.6835923750519086E-2</v>
      </c>
    </row>
    <row r="57" spans="1:12">
      <c r="B57" s="457" t="s">
        <v>175</v>
      </c>
      <c r="C57" s="456" t="s">
        <v>158</v>
      </c>
      <c r="D57" s="441">
        <f>IFERROR((Debt_performance___at_notional_gearing+Debt_performance___impact_of_actual_gearing)/Equity_RAV_based_on_actual_gearing,0)</f>
        <v>6.4330963184225251E-2</v>
      </c>
      <c r="E57" s="441">
        <f>IFERROR((Debt_performance___at_notional_gearing+Debt_performance___impact_of_actual_gearing)/Equity_RAV_based_on_actual_gearing,0)</f>
        <v>0.10147888720833674</v>
      </c>
      <c r="F57" s="441">
        <f>IFERROR((Debt_performance___at_notional_gearing+Debt_performance___impact_of_actual_gearing)/Equity_RAV_based_on_actual_gearing,0)</f>
        <v>3.9563068050089668E-2</v>
      </c>
      <c r="G57" s="441">
        <f>IFERROR((Debt_performance___at_notional_gearing+Debt_performance___impact_of_actual_gearing)/Equity_RAV_based_on_actual_gearing,0)</f>
        <v>1.2581591691078489E-2</v>
      </c>
      <c r="H57" s="441">
        <f>IFERROR((Debt_performance___at_notional_gearing+Debt_performance___impact_of_actual_gearing)/Equity_RAV_based_on_actual_gearing,0)</f>
        <v>1.5937141732564327E-2</v>
      </c>
      <c r="I57" s="80"/>
      <c r="J57" s="446">
        <f>IFERROR((AVERAGE(D84:INDEX(D84:H84,0,MATCH('RFPR cover'!$C$9,$D$6:$H$6,0)))+AVERAGE(D85:INDEX(D85:H85,0,MATCH('RFPR cover'!$C$9,$D$6:$H$6,0))))/AVERAGE($D$91:INDEX($D$91:$H$91,0,MATCH('RFPR cover'!$C$9,$D$6:$H$6,0))),0)</f>
        <v>6.4330963184225251E-2</v>
      </c>
      <c r="K57" s="446">
        <f>IFERROR((AVERAGE(D84:H84)+AVERAGE(D85:H85))/AVERAGE($D$91:$H$91),0)</f>
        <v>4.4241101730165412E-2</v>
      </c>
    </row>
    <row r="58" spans="1:12" ht="13.5" thickBot="1">
      <c r="B58" s="457" t="s">
        <v>176</v>
      </c>
      <c r="C58" s="456" t="s">
        <v>158</v>
      </c>
      <c r="D58" s="448">
        <f>IFERROR((Tax_performance___at_notional_gearing+Tax_performance___impact_of_actual_gearing)/D$91,0)</f>
        <v>-1.7947906669038477E-2</v>
      </c>
      <c r="E58" s="448">
        <f>IFERROR((Tax_performance___at_notional_gearing+Tax_performance___impact_of_actual_gearing)/E$91,0)</f>
        <v>-2.8023582691962753E-2</v>
      </c>
      <c r="F58" s="448">
        <f>IFERROR((Tax_performance___at_notional_gearing+Tax_performance___impact_of_actual_gearing)/F$91,0)</f>
        <v>-1.4070183184261318E-2</v>
      </c>
      <c r="G58" s="448">
        <f>IFERROR((Tax_performance___at_notional_gearing+Tax_performance___impact_of_actual_gearing)/G$91,0)</f>
        <v>-8.7016054053014689E-3</v>
      </c>
      <c r="H58" s="448">
        <f>IFERROR((Tax_performance___at_notional_gearing+Tax_performance___impact_of_actual_gearing)/H$91,0)</f>
        <v>-1.122758281275432E-2</v>
      </c>
      <c r="I58" s="80"/>
      <c r="J58" s="85">
        <f>IFERROR((AVERAGE(D86:INDEX(D86:H86,0,MATCH('RFPR cover'!$C$9,$D$6:$H$6,0)))+AVERAGE(D87:INDEX(D87:H87,0,MATCH('RFPR cover'!$C$9,$D$6:$H$6,0))))/AVERAGE($D$91:INDEX($D$91:$H$91,0,MATCH('RFPR cover'!$C$9,$D$6:$H$6,0))),0)</f>
        <v>-1.7947906669038477E-2</v>
      </c>
      <c r="K58" s="85">
        <f>IFERROR((AVERAGE(D86:H86)+AVERAGE(D87:H87))/AVERAGE($D$91:$H$91),0)</f>
        <v>-1.5549584489213626E-2</v>
      </c>
    </row>
    <row r="59" spans="1:12" ht="13.5" thickBot="1">
      <c r="B59" s="458" t="str">
        <f>B88</f>
        <v>RoRE - including financing and tax</v>
      </c>
      <c r="C59" s="172" t="s">
        <v>158</v>
      </c>
      <c r="D59" s="442">
        <f>SUM(D56:D58)</f>
        <v>9.1673026361831028E-2</v>
      </c>
      <c r="E59" s="443">
        <f t="shared" ref="E59:H59" si="19">SUM(E56:E58)</f>
        <v>0.12175940593928206</v>
      </c>
      <c r="F59" s="443">
        <f t="shared" si="19"/>
        <v>7.3201969389122851E-2</v>
      </c>
      <c r="G59" s="443">
        <f t="shared" si="19"/>
        <v>5.0983800906347528E-2</v>
      </c>
      <c r="H59" s="444">
        <f t="shared" si="19"/>
        <v>5.0593162576835049E-2</v>
      </c>
      <c r="I59" s="81"/>
      <c r="J59" s="447">
        <f>SUM(J56:J58)</f>
        <v>9.1673026361831028E-2</v>
      </c>
      <c r="K59" s="444">
        <f>SUM(K56:K58)</f>
        <v>7.5527440991470879E-2</v>
      </c>
    </row>
    <row r="60" spans="1:12">
      <c r="B60" s="171"/>
      <c r="C60" s="172"/>
      <c r="D60" s="173"/>
      <c r="E60" s="173"/>
      <c r="F60" s="173"/>
      <c r="G60" s="173"/>
      <c r="H60" s="173"/>
      <c r="I60" s="81"/>
      <c r="J60" s="173"/>
      <c r="K60" s="173"/>
    </row>
    <row r="61" spans="1:12">
      <c r="B61" s="171"/>
      <c r="C61" s="172"/>
      <c r="D61" s="173"/>
      <c r="E61" s="173"/>
      <c r="F61" s="173"/>
      <c r="G61" s="173"/>
      <c r="H61" s="173"/>
      <c r="I61" s="81"/>
      <c r="J61" s="173"/>
      <c r="K61" s="173"/>
    </row>
    <row r="62" spans="1:12">
      <c r="B62" s="183" t="s">
        <v>177</v>
      </c>
      <c r="C62" s="184"/>
      <c r="D62" s="185"/>
      <c r="E62" s="185"/>
      <c r="F62" s="185"/>
      <c r="G62" s="185"/>
      <c r="H62" s="185"/>
      <c r="I62" s="186"/>
      <c r="J62" s="185"/>
      <c r="K62" s="185"/>
      <c r="L62" s="98"/>
    </row>
    <row r="63" spans="1:12">
      <c r="B63" s="188" t="str">
        <f>"Input values provided in "&amp;Data!C9&amp;" prices"</f>
        <v>Input values provided in £m 18/19 prices</v>
      </c>
      <c r="C63" s="187"/>
      <c r="D63" s="187"/>
      <c r="E63" s="187"/>
      <c r="F63" s="187"/>
      <c r="G63" s="187"/>
      <c r="H63" s="187"/>
      <c r="I63" s="187"/>
      <c r="J63" s="187"/>
      <c r="K63" s="187"/>
      <c r="L63" s="187"/>
    </row>
    <row r="65" spans="1:12">
      <c r="B65" s="459" t="s">
        <v>178</v>
      </c>
      <c r="C65" s="461" t="str">
        <f>Data!$C$9</f>
        <v>£m 18/19</v>
      </c>
      <c r="D65" s="83">
        <f>'R7 - RAV'!E44</f>
        <v>45.948463600897384</v>
      </c>
      <c r="E65" s="84">
        <f>'R7 - RAV'!F44</f>
        <v>48.972430623240378</v>
      </c>
      <c r="F65" s="84">
        <f>'R7 - RAV'!G44</f>
        <v>53.056340755534478</v>
      </c>
      <c r="G65" s="84">
        <f>'R7 - RAV'!H44</f>
        <v>56.988516744968685</v>
      </c>
      <c r="H65" s="84">
        <f>'R7 - RAV'!I44</f>
        <v>61.796105062138047</v>
      </c>
      <c r="I65" s="88"/>
      <c r="J65" s="46">
        <f>SUM(D65:INDEX(D65:H65,0,MATCH('RFPR cover'!$C$9,$D$6:$H$6,0)))</f>
        <v>45.948463600897384</v>
      </c>
      <c r="K65" s="46">
        <f t="shared" ref="K65:K82" si="20">SUM(D65:H65)</f>
        <v>266.76185678677894</v>
      </c>
      <c r="L65" s="88"/>
    </row>
    <row r="66" spans="1:12">
      <c r="B66" s="459" t="s">
        <v>179</v>
      </c>
      <c r="C66" s="461" t="str">
        <f>Data!$C$9</f>
        <v>£m 18/19</v>
      </c>
      <c r="D66" s="118">
        <f>'R3 - Totex - Reconciliation'!D97</f>
        <v>0</v>
      </c>
      <c r="E66" s="118">
        <f>'R3 - Totex - Reconciliation'!E97</f>
        <v>0</v>
      </c>
      <c r="F66" s="118">
        <f>'R3 - Totex - Reconciliation'!F97</f>
        <v>0</v>
      </c>
      <c r="G66" s="118">
        <f>'R3 - Totex - Reconciliation'!G97</f>
        <v>0</v>
      </c>
      <c r="H66" s="118">
        <f>'R3 - Totex - Reconciliation'!H97</f>
        <v>0</v>
      </c>
      <c r="I66" s="88"/>
      <c r="J66" s="46">
        <f>SUM(D66:INDEX(D66:H66,0,MATCH('RFPR cover'!$C$9,$D$6:$H$6,0)))</f>
        <v>0</v>
      </c>
      <c r="K66" s="46">
        <f t="shared" si="20"/>
        <v>0</v>
      </c>
      <c r="L66" s="88"/>
    </row>
    <row r="67" spans="1:12">
      <c r="A67" s="78" t="s">
        <v>159</v>
      </c>
      <c r="B67" s="459" t="s">
        <v>180</v>
      </c>
      <c r="C67" s="461" t="str">
        <f>Data!$C$9</f>
        <v>£m 18/19</v>
      </c>
      <c r="D67" s="115">
        <f>'R4 - Incentives and Other Rev'!D12</f>
        <v>1</v>
      </c>
      <c r="E67" s="115">
        <f>'R4 - Incentives and Other Rev'!E12</f>
        <v>1</v>
      </c>
      <c r="F67" s="115">
        <f>'R4 - Incentives and Other Rev'!F12</f>
        <v>1</v>
      </c>
      <c r="G67" s="115">
        <f>'R4 - Incentives and Other Rev'!G12</f>
        <v>1</v>
      </c>
      <c r="H67" s="115">
        <f>'R4 - Incentives and Other Rev'!H12</f>
        <v>1</v>
      </c>
      <c r="I67" s="88"/>
      <c r="J67" s="46">
        <f>SUM(D67:INDEX(D67:H67,0,MATCH('RFPR cover'!$C$9,$D$6:$H$6,0)))</f>
        <v>1</v>
      </c>
      <c r="K67" s="46">
        <f t="shared" si="20"/>
        <v>5</v>
      </c>
      <c r="L67" s="88"/>
    </row>
    <row r="68" spans="1:12">
      <c r="A68" s="78" t="s">
        <v>160</v>
      </c>
      <c r="B68" s="651" t="str">
        <f>'R4 - Incentives and Other Rev'!B14</f>
        <v xml:space="preserve">Energy not supplied ODI </v>
      </c>
      <c r="C68" s="461" t="str">
        <f>Data!$C$9</f>
        <v>£m 18/19</v>
      </c>
      <c r="D68" s="115">
        <f>'R4 - Incentives and Other Rev'!D14</f>
        <v>1.3368199208</v>
      </c>
      <c r="E68" s="115">
        <f>'R4 - Incentives and Other Rev'!E14</f>
        <v>1.148286776</v>
      </c>
      <c r="F68" s="115">
        <f>'R4 - Incentives and Other Rev'!F14</f>
        <v>1.148286776</v>
      </c>
      <c r="G68" s="115">
        <f>'R4 - Incentives and Other Rev'!G14</f>
        <v>1.148286776</v>
      </c>
      <c r="H68" s="115">
        <f>'R4 - Incentives and Other Rev'!H14</f>
        <v>1.148286776</v>
      </c>
      <c r="I68" s="333"/>
      <c r="J68" s="46">
        <f>SUM(D68:INDEX(D68:H68,0,MATCH('RFPR cover'!$C$9,$D$6:$H$6,0)))</f>
        <v>1.3368199208</v>
      </c>
      <c r="K68" s="46">
        <f t="shared" si="20"/>
        <v>5.9299670247999998</v>
      </c>
      <c r="L68" s="88"/>
    </row>
    <row r="69" spans="1:12">
      <c r="A69" s="78" t="s">
        <v>161</v>
      </c>
      <c r="B69" s="651" t="str">
        <f>'R4 - Incentives and Other Rev'!B15</f>
        <v xml:space="preserve">Insulation And Interruption Gas emissions ODI </v>
      </c>
      <c r="C69" s="461" t="str">
        <f>Data!$C$9</f>
        <v>£m 18/19</v>
      </c>
      <c r="D69" s="115">
        <f>'R4 - Incentives and Other Rev'!D15</f>
        <v>1.1276952247973082</v>
      </c>
      <c r="E69" s="115">
        <f>'R4 - Incentives and Other Rev'!E15</f>
        <v>1.2692001479591251</v>
      </c>
      <c r="F69" s="115">
        <f>'R4 - Incentives and Other Rev'!F15</f>
        <v>1.3069698188924486</v>
      </c>
      <c r="G69" s="115">
        <f>'R4 - Incentives and Other Rev'!G15</f>
        <v>1.333692647556036</v>
      </c>
      <c r="H69" s="115">
        <f>'R4 - Incentives and Other Rev'!H15</f>
        <v>1.2663558927498499</v>
      </c>
      <c r="I69" s="333"/>
      <c r="J69" s="46">
        <f>SUM(D69:INDEX(D69:H69,0,MATCH('RFPR cover'!$C$9,$D$6:$H$6,0)))</f>
        <v>1.1276952247973082</v>
      </c>
      <c r="K69" s="46">
        <f t="shared" si="20"/>
        <v>6.3039137319547685</v>
      </c>
      <c r="L69" s="88"/>
    </row>
    <row r="70" spans="1:12">
      <c r="A70" s="78" t="s">
        <v>162</v>
      </c>
      <c r="B70" s="651" t="str">
        <f>'R4 - Incentives and Other Rev'!B16</f>
        <v xml:space="preserve">Timely Connections ODI </v>
      </c>
      <c r="C70" s="461"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33"/>
      <c r="J70" s="46">
        <f>SUM(D70:INDEX(D70:H70,0,MATCH('RFPR cover'!$C$9,$D$6:$H$6,0)))</f>
        <v>0</v>
      </c>
      <c r="K70" s="46">
        <f t="shared" si="20"/>
        <v>0</v>
      </c>
      <c r="L70" s="88"/>
    </row>
    <row r="71" spans="1:12">
      <c r="A71" s="78" t="s">
        <v>163</v>
      </c>
      <c r="B71" s="651" t="str">
        <f>'R4 - Incentives and Other Rev'!B17</f>
        <v xml:space="preserve">Quality of connections satisfaction survey ODI </v>
      </c>
      <c r="C71" s="461" t="str">
        <f>Data!$C$9</f>
        <v>£m 18/19</v>
      </c>
      <c r="D71" s="115">
        <f>'R4 - Incentives and Other Rev'!D17</f>
        <v>0.38012976860537828</v>
      </c>
      <c r="E71" s="115">
        <f>'R4 - Incentives and Other Rev'!E17</f>
        <v>0.91107692307692301</v>
      </c>
      <c r="F71" s="115">
        <f>'R4 - Incentives and Other Rev'!F17</f>
        <v>1.1894615384615368</v>
      </c>
      <c r="G71" s="115">
        <f>'R4 - Incentives and Other Rev'!G17</f>
        <v>1.4045769230769238</v>
      </c>
      <c r="H71" s="115">
        <f>'R4 - Incentives and Other Rev'!H17</f>
        <v>1.6196923076923082</v>
      </c>
      <c r="I71" s="333"/>
      <c r="J71" s="46">
        <f>SUM(D71:INDEX(D71:H71,0,MATCH('RFPR cover'!$C$9,$D$6:$H$6,0)))</f>
        <v>0.38012976860537828</v>
      </c>
      <c r="K71" s="46">
        <f t="shared" si="20"/>
        <v>5.5049374609130695</v>
      </c>
      <c r="L71" s="88"/>
    </row>
    <row r="72" spans="1:12">
      <c r="A72" s="78" t="s">
        <v>164</v>
      </c>
      <c r="B72" s="651" t="str">
        <f>'R4 - Incentives and Other Rev'!B18</f>
        <v>SO-TO Optimisation ODI</v>
      </c>
      <c r="C72" s="461" t="str">
        <f>Data!$C$9</f>
        <v>£m 18/19</v>
      </c>
      <c r="D72" s="115">
        <f>'R4 - Incentives and Other Rev'!D18</f>
        <v>0.39840000000000003</v>
      </c>
      <c r="E72" s="115">
        <f>'R4 - Incentives and Other Rev'!E18</f>
        <v>2.5</v>
      </c>
      <c r="F72" s="115">
        <f>'R4 - Incentives and Other Rev'!F18</f>
        <v>0</v>
      </c>
      <c r="G72" s="115">
        <f>'R4 - Incentives and Other Rev'!G18</f>
        <v>0</v>
      </c>
      <c r="H72" s="115">
        <f>'R4 - Incentives and Other Rev'!H18</f>
        <v>0</v>
      </c>
      <c r="I72" s="333"/>
      <c r="J72" s="46">
        <f>SUM(D72:INDEX(D72:H72,0,MATCH('RFPR cover'!$C$9,$D$6:$H$6,0)))</f>
        <v>0.39840000000000003</v>
      </c>
      <c r="K72" s="46">
        <f t="shared" si="20"/>
        <v>2.8984000000000001</v>
      </c>
      <c r="L72" s="88"/>
    </row>
    <row r="73" spans="1:12">
      <c r="A73" s="78" t="s">
        <v>165</v>
      </c>
      <c r="B73" s="651" t="str">
        <f>'R4 - Incentives and Other Rev'!B19</f>
        <v xml:space="preserve">Environmental scorecard ODI </v>
      </c>
      <c r="C73" s="461" t="str">
        <f>Data!$C$9</f>
        <v>£m 18/19</v>
      </c>
      <c r="D73" s="115">
        <f>'R4 - Incentives and Other Rev'!D19</f>
        <v>0</v>
      </c>
      <c r="E73" s="115">
        <f>'R4 - Incentives and Other Rev'!E19</f>
        <v>0</v>
      </c>
      <c r="F73" s="115">
        <f>'R4 - Incentives and Other Rev'!F19</f>
        <v>0</v>
      </c>
      <c r="G73" s="115">
        <f>'R4 - Incentives and Other Rev'!G19</f>
        <v>0</v>
      </c>
      <c r="H73" s="115">
        <f>'R4 - Incentives and Other Rev'!H19</f>
        <v>0</v>
      </c>
      <c r="I73" s="333"/>
      <c r="J73" s="46">
        <f>SUM(D73:INDEX(D73:H73,0,MATCH('RFPR cover'!$C$9,$D$6:$H$6,0)))</f>
        <v>0</v>
      </c>
      <c r="K73" s="46">
        <f t="shared" si="20"/>
        <v>0</v>
      </c>
      <c r="L73" s="88"/>
    </row>
    <row r="74" spans="1:12">
      <c r="A74" s="78" t="s">
        <v>166</v>
      </c>
      <c r="B74" s="651" t="str">
        <f>'R4 - Incentives and Other Rev'!B41</f>
        <v>Network innovation input for RORE</v>
      </c>
      <c r="C74" s="461" t="str">
        <f>Data!$C$9</f>
        <v>£m 18/19</v>
      </c>
      <c r="D74" s="115">
        <f>-'R4 - Incentives and Other Rev'!D41</f>
        <v>-0.11692159981325714</v>
      </c>
      <c r="E74" s="115">
        <f>-'R4 - Incentives and Other Rev'!E41</f>
        <v>-0.30062832439217529</v>
      </c>
      <c r="F74" s="115">
        <f>-'R4 - Incentives and Other Rev'!F41</f>
        <v>-0.33741369460036585</v>
      </c>
      <c r="G74" s="115">
        <f>-'R4 - Incentives and Other Rev'!G41</f>
        <v>-0.33741369460036585</v>
      </c>
      <c r="H74" s="115">
        <f>-'R4 - Incentives and Other Rev'!H41</f>
        <v>-0.40434332777788251</v>
      </c>
      <c r="I74" s="88"/>
      <c r="J74" s="46">
        <f>SUM(D74:INDEX(D74:H74,0,MATCH('RFPR cover'!$C$9,$D$6:$H$6,0)))</f>
        <v>-0.11692159981325714</v>
      </c>
      <c r="K74" s="46">
        <f t="shared" si="20"/>
        <v>-1.4967206411840466</v>
      </c>
      <c r="L74" s="88"/>
    </row>
    <row r="75" spans="1:12">
      <c r="A75" s="78" t="s">
        <v>167</v>
      </c>
      <c r="B75" s="651" t="str">
        <f>'R4 - Incentives and Other Rev'!B48</f>
        <v>Carry-over Network innovation input for RORE</v>
      </c>
      <c r="C75" s="461" t="str">
        <f>Data!$C$9</f>
        <v>£m 18/19</v>
      </c>
      <c r="D75" s="115">
        <f>-'R4 - Incentives and Other Rev'!D48</f>
        <v>-3.5641703390175826E-2</v>
      </c>
      <c r="E75" s="115">
        <f>-'R4 - Incentives and Other Rev'!E48</f>
        <v>0</v>
      </c>
      <c r="F75" s="115">
        <f>-'R4 - Incentives and Other Rev'!F48</f>
        <v>0</v>
      </c>
      <c r="G75" s="115">
        <f>-'R4 - Incentives and Other Rev'!G48</f>
        <v>0</v>
      </c>
      <c r="H75" s="115">
        <f>-'R4 - Incentives and Other Rev'!H48</f>
        <v>0</v>
      </c>
      <c r="I75" s="88"/>
      <c r="J75" s="46">
        <f>SUM(D75:INDEX(D75:H75,0,MATCH('RFPR cover'!$C$9,$D$6:$H$6,0)))</f>
        <v>-3.5641703390175826E-2</v>
      </c>
      <c r="K75" s="46">
        <f t="shared" si="20"/>
        <v>-3.5641703390175826E-2</v>
      </c>
      <c r="L75" s="88"/>
    </row>
    <row r="76" spans="1:12">
      <c r="A76" s="78" t="s">
        <v>168</v>
      </c>
      <c r="B76" s="651" t="str">
        <f>'R4 - Incentives and Other Rev'!B55</f>
        <v>Strategic innovation input for RORE</v>
      </c>
      <c r="C76" s="461"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169</v>
      </c>
      <c r="B77" s="651" t="str">
        <f>'R4 - Incentives and Other Rev'!B62</f>
        <v/>
      </c>
      <c r="C77" s="461"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170</v>
      </c>
      <c r="B78" s="651" t="str">
        <f>'R4 - Incentives and Other Rev'!B63</f>
        <v/>
      </c>
      <c r="C78" s="461"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171</v>
      </c>
      <c r="B79" s="651" t="str">
        <f>'R4 - Incentives and Other Rev'!B64</f>
        <v/>
      </c>
      <c r="C79" s="461"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172</v>
      </c>
      <c r="B80" s="651" t="str">
        <f>'R4 - Incentives and Other Rev'!B65</f>
        <v/>
      </c>
      <c r="C80" s="461"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173</v>
      </c>
      <c r="B81" s="651" t="str">
        <f>'R4 - Incentives and Other Rev'!B66</f>
        <v/>
      </c>
      <c r="C81" s="461"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3.5" thickBot="1">
      <c r="B82" s="459" t="s">
        <v>181</v>
      </c>
      <c r="C82" s="461" t="str">
        <f>Data!$C$9</f>
        <v>£m 18/19</v>
      </c>
      <c r="D82" s="116">
        <f>-'R10 - Pensions &amp; Oth Activities'!D54</f>
        <v>0</v>
      </c>
      <c r="E82" s="116">
        <f>-'R10 - Pensions &amp; Oth Activities'!E54</f>
        <v>0</v>
      </c>
      <c r="F82" s="116">
        <f>-'R10 - Pensions &amp; Oth Activities'!F54</f>
        <v>0</v>
      </c>
      <c r="G82" s="116">
        <f>-'R10 - Pensions &amp; Oth Activities'!G54</f>
        <v>0</v>
      </c>
      <c r="H82" s="116">
        <f>-'R10 - Pensions &amp; Oth Activities'!H54</f>
        <v>0</v>
      </c>
      <c r="I82" s="88"/>
      <c r="J82" s="415">
        <f>SUM(D82:INDEX(D82:H82,0,MATCH('RFPR cover'!$C$9,$D$6:$H$6,0)))</f>
        <v>0</v>
      </c>
      <c r="K82" s="415">
        <f t="shared" si="20"/>
        <v>0</v>
      </c>
      <c r="L82" s="88"/>
    </row>
    <row r="83" spans="1:14" ht="13.5" thickBot="1">
      <c r="B83" s="460" t="s">
        <v>182</v>
      </c>
      <c r="C83" s="462" t="str">
        <f>Data!$C$9</f>
        <v>£m 18/19</v>
      </c>
      <c r="D83" s="436">
        <f>SUM(D65:D82)</f>
        <v>50.038945211896632</v>
      </c>
      <c r="E83" s="438">
        <f>SUM(E65:E82)</f>
        <v>55.50036614588425</v>
      </c>
      <c r="F83" s="438">
        <f>SUM(F65:F82)</f>
        <v>57.363645194288097</v>
      </c>
      <c r="G83" s="438">
        <f>SUM(G65:G82)</f>
        <v>61.537659397001278</v>
      </c>
      <c r="H83" s="437">
        <f>SUM(H65:H82)</f>
        <v>66.426096710802327</v>
      </c>
      <c r="I83" s="247"/>
      <c r="J83" s="436">
        <f>SUM(J65:J82)</f>
        <v>50.038945211896632</v>
      </c>
      <c r="K83" s="437">
        <f>SUM(K65:K82)</f>
        <v>290.86671265987258</v>
      </c>
      <c r="L83" s="88"/>
    </row>
    <row r="84" spans="1:14">
      <c r="B84" s="459" t="s">
        <v>183</v>
      </c>
      <c r="C84" s="461" t="str">
        <f>Data!$C$9</f>
        <v>£m 18/19</v>
      </c>
      <c r="D84" s="463">
        <f>IFERROR('R5 - Financing'!D85+'R8 - Tax'!E67,0)</f>
        <v>71.73769414203521</v>
      </c>
      <c r="E84" s="463">
        <f>IFERROR('R5 - Financing'!E85+'R8 - Tax'!F67,0)</f>
        <v>116.586466746474</v>
      </c>
      <c r="F84" s="463">
        <f>IFERROR('R5 - Financing'!F85+'R8 - Tax'!G67,0)</f>
        <v>47.17648243430272</v>
      </c>
      <c r="G84" s="463">
        <f>IFERROR('R5 - Financing'!G85+'R8 - Tax'!H67,0)</f>
        <v>16.831812718184768</v>
      </c>
      <c r="H84" s="463">
        <f>IFERROR('R5 - Financing'!H85+'R8 - Tax'!I67,0)</f>
        <v>23.072340305576624</v>
      </c>
      <c r="I84" s="88"/>
      <c r="J84" s="435">
        <f>SUM(D84:INDEX(D84:H84,0,MATCH('RFPR cover'!$C$9,$D$6:$H$6,0)))</f>
        <v>71.73769414203521</v>
      </c>
      <c r="K84" s="435">
        <f>SUM(D84:H84)</f>
        <v>275.40479634657333</v>
      </c>
      <c r="L84" s="88"/>
    </row>
    <row r="85" spans="1:14">
      <c r="B85" s="459" t="s">
        <v>184</v>
      </c>
      <c r="C85" s="461" t="str">
        <f>Data!$C$9</f>
        <v>£m 18/19</v>
      </c>
      <c r="D85" s="464">
        <f>IFERROR('R5 - Financing'!D87+'R8 - Tax'!E68,0)</f>
        <v>-0.66117205328175999</v>
      </c>
      <c r="E85" s="464">
        <f>IFERROR('R5 - Financing'!E87+'R8 - Tax'!F68,0)</f>
        <v>1.0576366485445021E-2</v>
      </c>
      <c r="F85" s="464">
        <f>IFERROR('R5 - Financing'!F87+'R8 - Tax'!G68,0)</f>
        <v>0.39269272592738602</v>
      </c>
      <c r="G85" s="464">
        <f>IFERROR('R5 - Financing'!G87+'R8 - Tax'!H68,0)</f>
        <v>-0.39489119931453986</v>
      </c>
      <c r="H85" s="464">
        <f>IFERROR('R5 - Financing'!H87+'R8 - Tax'!I68,0)</f>
        <v>0</v>
      </c>
      <c r="I85" s="88"/>
      <c r="J85" s="46">
        <f>SUM(D85:INDEX(D85:H85,0,MATCH('RFPR cover'!$C$9,$D$6:$H$6,0)))</f>
        <v>-0.66117205328175999</v>
      </c>
      <c r="K85" s="46">
        <f>SUM(D85:H85)</f>
        <v>-0.65279416018346881</v>
      </c>
      <c r="L85" s="88"/>
    </row>
    <row r="86" spans="1:14">
      <c r="B86" s="459" t="s">
        <v>185</v>
      </c>
      <c r="C86" s="461" t="str">
        <f>Data!$C$9</f>
        <v>£m 18/19</v>
      </c>
      <c r="D86" s="464">
        <f>'R8 - Tax'!E60-'R8 - Tax'!E67</f>
        <v>-19.829872298905826</v>
      </c>
      <c r="E86" s="464">
        <f>'R8 - Tax'!F60-'R8 - Tax'!F67</f>
        <v>-32.198489451369696</v>
      </c>
      <c r="F86" s="464">
        <f>'R8 - Tax'!G60-'R8 - Tax'!G67</f>
        <v>-16.917469787258675</v>
      </c>
      <c r="G86" s="464">
        <f>'R8 - Tax'!H60-'R8 - Tax'!H67</f>
        <v>-11.368005626548587</v>
      </c>
      <c r="H86" s="464">
        <f>'R8 - Tax'!I60-'R8 - Tax'!I67</f>
        <v>-16.254270421376845</v>
      </c>
      <c r="I86" s="88"/>
      <c r="J86" s="46">
        <f>SUM(D86:INDEX(D86:H86,0,MATCH('RFPR cover'!$C$9,$D$6:$H$6,0)))</f>
        <v>-19.829872298905826</v>
      </c>
      <c r="K86" s="46">
        <f>SUM(D86:H86)</f>
        <v>-96.568107585459614</v>
      </c>
      <c r="L86" s="88"/>
    </row>
    <row r="87" spans="1:14" ht="13.5" thickBot="1">
      <c r="B87" s="459" t="s">
        <v>186</v>
      </c>
      <c r="C87" s="461" t="str">
        <f>Data!$C$9</f>
        <v>£m 18/19</v>
      </c>
      <c r="D87" s="465">
        <f>'R8 - Tax'!E62-'R8 - Tax'!E68</f>
        <v>3.5527136788005009E-15</v>
      </c>
      <c r="E87" s="465">
        <f>'R8 - Tax'!F62-'R8 - Tax'!F68</f>
        <v>0</v>
      </c>
      <c r="F87" s="465">
        <f>'R8 - Tax'!G62-'R8 - Tax'!G68</f>
        <v>3.5527136788005009E-15</v>
      </c>
      <c r="G87" s="465">
        <f>'R8 - Tax'!H62-'R8 - Tax'!H68</f>
        <v>2.2204460492503131E-15</v>
      </c>
      <c r="H87" s="465">
        <f>'R8 - Tax'!I62-'R8 - Tax'!I68</f>
        <v>0</v>
      </c>
      <c r="I87" s="88"/>
      <c r="J87" s="415">
        <f>SUM(D87:INDEX(D87:H87,0,MATCH('RFPR cover'!$C$9,$D$6:$H$6,0)))</f>
        <v>3.5527136788005009E-15</v>
      </c>
      <c r="K87" s="415">
        <f>SUM(D87:H87)</f>
        <v>9.3258734068513149E-15</v>
      </c>
      <c r="L87" s="88"/>
    </row>
    <row r="88" spans="1:14" ht="13.5" thickBot="1">
      <c r="B88" s="460" t="s">
        <v>187</v>
      </c>
      <c r="C88" s="462" t="str">
        <f>Data!$C$9</f>
        <v>£m 18/19</v>
      </c>
      <c r="D88" s="619">
        <f>IF(OR(Licensee=Data!$B$78,Licensee=Data!$B$81),"N/A",SUM(D83:D87))</f>
        <v>101.28559500174426</v>
      </c>
      <c r="E88" s="619">
        <f>IF(OR(Licensee=Data!$B$78,Licensee=Data!$B$81),"N/A",SUM(E83:E87))</f>
        <v>139.89891980747399</v>
      </c>
      <c r="F88" s="619">
        <f>IF(OR(Licensee=Data!$B$78,Licensee=Data!$B$81),"N/A",SUM(F83:F87))</f>
        <v>88.015350567259532</v>
      </c>
      <c r="G88" s="619">
        <f>IF(OR(Licensee=Data!$B$78,Licensee=Data!$B$81),"N/A",SUM(G83:G87))</f>
        <v>66.606575289322905</v>
      </c>
      <c r="H88" s="619">
        <f>IF(OR(Licensee=Data!$B$78,Licensee=Data!$B$81),"N/A",SUM(H83:H87))</f>
        <v>73.244166595002099</v>
      </c>
      <c r="I88" s="247"/>
      <c r="J88" s="436">
        <f>SUM(J83:J87)</f>
        <v>101.28559500174426</v>
      </c>
      <c r="K88" s="437">
        <f>SUM(K83:K87)</f>
        <v>469.05060726080285</v>
      </c>
      <c r="L88" s="88"/>
    </row>
    <row r="89" spans="1:14">
      <c r="D89" s="439"/>
      <c r="I89" s="88"/>
      <c r="L89" s="88"/>
      <c r="N89" s="88"/>
    </row>
    <row r="90" spans="1:14">
      <c r="B90" s="618" t="s">
        <v>188</v>
      </c>
      <c r="C90" s="461" t="str">
        <f>Data!$C$9</f>
        <v>£m 18/19</v>
      </c>
      <c r="D90" s="114">
        <f>'R7 - RAV'!E40</f>
        <v>1082.6828302792228</v>
      </c>
      <c r="E90" s="84">
        <f>'R7 - RAV'!F40</f>
        <v>1149.1534486793341</v>
      </c>
      <c r="F90" s="84">
        <f>'R7 - RAV'!G40</f>
        <v>1251.6795765734996</v>
      </c>
      <c r="G90" s="84">
        <f>'R7 - RAV'!H40</f>
        <v>1339.4209163349301</v>
      </c>
      <c r="H90" s="84">
        <f>'R7 - RAV'!I40</f>
        <v>1447.70879827422</v>
      </c>
      <c r="I90" s="88"/>
      <c r="L90" s="88"/>
    </row>
    <row r="91" spans="1:14">
      <c r="B91" s="459" t="s">
        <v>189</v>
      </c>
      <c r="C91" s="461" t="str">
        <f>Data!$C$9</f>
        <v>£m 18/19</v>
      </c>
      <c r="D91" s="117">
        <f>IFERROR('R6 - Net Debt'!D63,0)</f>
        <v>1104.8571103344259</v>
      </c>
      <c r="E91" s="117">
        <f>IFERROR('R6 - Net Debt'!E63,0)</f>
        <v>1148.9783374701879</v>
      </c>
      <c r="F91" s="117">
        <f>IFERROR('R6 - Net Debt'!F63,0)</f>
        <v>1202.3631509063991</v>
      </c>
      <c r="G91" s="117">
        <f>IFERROR('R6 - Net Debt'!G63,0)</f>
        <v>1306.4262394181433</v>
      </c>
      <c r="H91" s="117">
        <f>IFERROR('R6 - Net Debt'!H63,0)</f>
        <v>1447.70879827422</v>
      </c>
      <c r="I91" s="88"/>
      <c r="L91" s="88"/>
    </row>
    <row r="92" spans="1:14">
      <c r="L92" s="88"/>
    </row>
    <row r="93" spans="1:14">
      <c r="L93" s="88"/>
    </row>
    <row r="94" spans="1:14">
      <c r="L94" s="88"/>
    </row>
  </sheetData>
  <phoneticPr fontId="250" type="noConversion"/>
  <conditionalFormatting sqref="D6:G6">
    <cfRule type="expression" dxfId="87" priority="8">
      <formula>AND(D$5="Actuals",E$5="Forecast")</formula>
    </cfRule>
  </conditionalFormatting>
  <conditionalFormatting sqref="H6">
    <cfRule type="expression" dxfId="86" priority="201">
      <formula>AND(H$5="Actuals",#REF!="Forecast")</formula>
    </cfRule>
  </conditionalFormatting>
  <conditionalFormatting sqref="D7:H7">
    <cfRule type="expression" dxfId="85"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&amp;C&amp;"Calibri"&amp;11&amp;K000000_x000D_&amp;1#&amp;"Calibri"&amp;12&amp;K008000Internal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Normal="100" workbookViewId="0">
      <pane ySplit="7" topLeftCell="A8" activePane="bottomLeft" state="frozen"/>
      <selection pane="bottomLeft" activeCell="B2" sqref="B2"/>
    </sheetView>
  </sheetViews>
  <sheetFormatPr defaultRowHeight="12.75" outlineLevelCol="1"/>
  <cols>
    <col min="1" max="1" width="8.375" customWidth="1"/>
    <col min="2" max="2" width="58.375" style="88" customWidth="1"/>
    <col min="3" max="3" width="22.125" style="88" customWidth="1"/>
    <col min="4" max="4" width="13.375" style="69" customWidth="1"/>
    <col min="5" max="9" width="11.125" customWidth="1"/>
    <col min="10" max="10" width="5" customWidth="1"/>
    <col min="11" max="20" width="9.25" customWidth="1" outlineLevel="1"/>
  </cols>
  <sheetData>
    <row r="1" spans="1:10" ht="20.25">
      <c r="A1" s="677" t="s">
        <v>190</v>
      </c>
      <c r="B1" s="403"/>
      <c r="C1" s="403"/>
      <c r="D1" s="404"/>
      <c r="E1" s="405"/>
      <c r="F1" s="405"/>
      <c r="G1" s="405"/>
      <c r="H1" s="405"/>
      <c r="I1" s="405"/>
      <c r="J1" s="682"/>
    </row>
    <row r="2" spans="1:10" ht="20.25">
      <c r="A2" s="299" t="str">
        <f t="shared" ref="A2" si="0">Licensee</f>
        <v>SPT</v>
      </c>
      <c r="B2" s="302"/>
      <c r="C2" s="302"/>
      <c r="D2" s="68"/>
      <c r="E2" s="16"/>
      <c r="F2" s="16"/>
      <c r="G2" s="16"/>
      <c r="H2" s="16"/>
      <c r="I2" s="16"/>
      <c r="J2" s="65"/>
    </row>
    <row r="3" spans="1:10" ht="20.25">
      <c r="A3" s="294">
        <f>Reporting_Year</f>
        <v>2022</v>
      </c>
      <c r="B3" s="573"/>
      <c r="C3" s="573"/>
      <c r="D3" s="574"/>
      <c r="E3" s="571"/>
      <c r="F3" s="571"/>
      <c r="G3" s="571"/>
      <c r="H3" s="571"/>
      <c r="I3" s="571"/>
      <c r="J3" s="119"/>
    </row>
    <row r="4" spans="1:10" s="2" customFormat="1" ht="12.75" customHeight="1">
      <c r="B4" s="66"/>
      <c r="C4" s="66"/>
      <c r="D4" s="69"/>
    </row>
    <row r="5" spans="1:10" s="2" customFormat="1">
      <c r="B5" s="66"/>
      <c r="C5" s="66"/>
      <c r="D5" s="69"/>
      <c r="E5" s="153" t="str">
        <f>IF(E6&lt;=Reporting_Year,"Actuals","Forecast")</f>
        <v>Actuals</v>
      </c>
      <c r="F5" s="153" t="str">
        <f>IF(F6&lt;=Reporting_Year,"Actuals","Forecast")</f>
        <v>Forecast</v>
      </c>
      <c r="G5" s="153" t="str">
        <f>IF(G6&lt;=Reporting_Year,"Actuals","Forecast")</f>
        <v>Forecast</v>
      </c>
      <c r="H5" s="153" t="str">
        <f>IF(H6&lt;=Reporting_Year,"Actuals","Forecast")</f>
        <v>Forecast</v>
      </c>
      <c r="I5" s="153" t="str">
        <f>IF(I6&lt;=Reporting_Year,"Actuals","Forecast")</f>
        <v>Forecast</v>
      </c>
    </row>
    <row r="6" spans="1:10" s="2" customFormat="1">
      <c r="B6" s="66"/>
      <c r="C6" s="66"/>
      <c r="D6" s="69"/>
      <c r="E6" s="324">
        <f>RIIO_2_start_date</f>
        <v>2022</v>
      </c>
      <c r="F6" s="324">
        <f>E6+1</f>
        <v>2023</v>
      </c>
      <c r="G6" s="324">
        <f>F6+1</f>
        <v>2024</v>
      </c>
      <c r="H6" s="324">
        <f t="shared" ref="H6:I6" si="1">G6+1</f>
        <v>2025</v>
      </c>
      <c r="I6" s="324">
        <f t="shared" si="1"/>
        <v>2026</v>
      </c>
    </row>
    <row r="7" spans="1:10" s="2" customFormat="1">
      <c r="B7" s="244"/>
      <c r="C7" s="244"/>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44"/>
      <c r="C8" s="244"/>
      <c r="D8" s="75"/>
      <c r="E8" s="28"/>
      <c r="F8" s="28"/>
      <c r="G8" s="28"/>
      <c r="H8" s="28"/>
      <c r="I8" s="28"/>
    </row>
    <row r="9" spans="1:10" s="2" customFormat="1">
      <c r="B9" s="245" t="s">
        <v>191</v>
      </c>
      <c r="C9" s="245"/>
      <c r="D9" s="73"/>
      <c r="E9" s="40"/>
      <c r="F9" s="40"/>
      <c r="G9" s="40"/>
      <c r="H9" s="40"/>
      <c r="I9" s="40"/>
      <c r="J9" s="41"/>
    </row>
    <row r="10" spans="1:10" s="2" customFormat="1">
      <c r="B10" s="244"/>
      <c r="C10" s="244"/>
      <c r="D10" s="75"/>
      <c r="E10" s="28"/>
      <c r="F10" s="28"/>
      <c r="G10" s="28"/>
      <c r="H10" s="28"/>
      <c r="I10" s="28"/>
    </row>
    <row r="11" spans="1:10" s="2" customFormat="1">
      <c r="B11" s="657" t="s">
        <v>192</v>
      </c>
      <c r="C11" s="244"/>
      <c r="D11" s="69"/>
    </row>
    <row r="12" spans="1:10" s="2" customFormat="1">
      <c r="B12" s="155"/>
      <c r="C12" s="244"/>
      <c r="D12" s="69"/>
    </row>
    <row r="13" spans="1:10" s="2" customFormat="1">
      <c r="B13" s="246" t="s">
        <v>193</v>
      </c>
      <c r="C13" s="27" t="str">
        <f>IF(Licensee="NGGT (SO)","SORt* x  PIt* / PI2018/19","Rt* x  PIt* / PI2018/19")</f>
        <v>Rt* x  PIt* / PI2018/19</v>
      </c>
      <c r="D13" s="74" t="s">
        <v>194</v>
      </c>
      <c r="E13" s="312">
        <v>374.49344211480457</v>
      </c>
      <c r="F13" s="312"/>
      <c r="G13" s="312"/>
      <c r="H13" s="312"/>
      <c r="I13" s="312"/>
    </row>
    <row r="14" spans="1:10" s="2" customFormat="1">
      <c r="B14" s="246" t="s">
        <v>195</v>
      </c>
      <c r="C14" s="314" t="str">
        <f>IF(Licensee="NGGT (SO)","SOADJt*","ADJt*")</f>
        <v>ADJt*</v>
      </c>
      <c r="D14" s="74" t="s">
        <v>194</v>
      </c>
      <c r="E14" s="312">
        <v>0</v>
      </c>
      <c r="F14" s="312"/>
      <c r="G14" s="312"/>
      <c r="H14" s="312"/>
      <c r="I14" s="312"/>
    </row>
    <row r="15" spans="1:10" s="2" customFormat="1">
      <c r="B15" s="246" t="s">
        <v>196</v>
      </c>
      <c r="C15" s="314" t="str">
        <f>IF(Licensee="NGGT (SO)","SOADJRt*","ADJRt*")</f>
        <v>ADJRt*</v>
      </c>
      <c r="D15" s="74" t="s">
        <v>194</v>
      </c>
      <c r="E15" s="225">
        <f>SUM(E13:E14)</f>
        <v>374.49344211480457</v>
      </c>
      <c r="F15" s="225">
        <f t="shared" ref="F15:I15" si="2">SUM(F13:F14)</f>
        <v>0</v>
      </c>
      <c r="G15" s="225">
        <f t="shared" si="2"/>
        <v>0</v>
      </c>
      <c r="H15" s="225">
        <f t="shared" si="2"/>
        <v>0</v>
      </c>
      <c r="I15" s="225">
        <f t="shared" si="2"/>
        <v>0</v>
      </c>
    </row>
    <row r="16" spans="1:10" s="2" customFormat="1">
      <c r="B16" s="246" t="s">
        <v>197</v>
      </c>
      <c r="C16" s="314" t="str">
        <f>IF(OR(Licensee="ESO",Licensee="NGGT (SO)"),"SOLARt","LARt")</f>
        <v>LARt</v>
      </c>
      <c r="D16" s="74" t="s">
        <v>194</v>
      </c>
      <c r="E16" s="312">
        <v>1.6940556242779079</v>
      </c>
      <c r="F16" s="312"/>
      <c r="G16" s="312"/>
      <c r="H16" s="312"/>
      <c r="I16" s="312"/>
    </row>
    <row r="17" spans="2:10" s="2" customFormat="1">
      <c r="B17" s="246" t="s">
        <v>198</v>
      </c>
      <c r="C17" s="314" t="str">
        <f>IF(Licensee="NGGT (SO)","SOKt","Kt")</f>
        <v>Kt</v>
      </c>
      <c r="D17" s="74" t="s">
        <v>194</v>
      </c>
      <c r="E17" s="312">
        <v>-0.41395063765358786</v>
      </c>
      <c r="F17" s="312"/>
      <c r="G17" s="312"/>
      <c r="H17" s="312"/>
      <c r="I17" s="312"/>
    </row>
    <row r="18" spans="2:10" s="2" customFormat="1">
      <c r="B18" s="244" t="s">
        <v>199</v>
      </c>
      <c r="C18" s="244" t="str">
        <f>IF(Licensee="ESO","SOIARt",IF(Licensee="NGGT (SO)","SOARt","ARt"))</f>
        <v>ARt</v>
      </c>
      <c r="D18" s="75" t="s">
        <v>194</v>
      </c>
      <c r="E18" s="208">
        <f>SUM(E15:E17)</f>
        <v>375.77354710142885</v>
      </c>
      <c r="F18" s="208">
        <f t="shared" ref="F18:I18" si="3">SUM(F15:F17)</f>
        <v>0</v>
      </c>
      <c r="G18" s="208">
        <f t="shared" si="3"/>
        <v>0</v>
      </c>
      <c r="H18" s="208">
        <f t="shared" si="3"/>
        <v>0</v>
      </c>
      <c r="I18" s="208">
        <f t="shared" si="3"/>
        <v>0</v>
      </c>
    </row>
    <row r="19" spans="2:10" s="2" customFormat="1">
      <c r="B19" s="66"/>
      <c r="C19" s="66"/>
      <c r="D19" s="69"/>
      <c r="E19" s="30"/>
      <c r="F19" s="30"/>
      <c r="G19" s="30"/>
      <c r="H19" s="34"/>
      <c r="I19" s="34"/>
    </row>
    <row r="20" spans="2:10" s="2" customFormat="1">
      <c r="B20" s="66" t="s">
        <v>200</v>
      </c>
      <c r="C20" s="155"/>
      <c r="D20" s="75" t="s">
        <v>194</v>
      </c>
      <c r="E20" s="208">
        <f>IF(ISBLANK(E24),0,E24-E18)</f>
        <v>4.9784849338599315</v>
      </c>
      <c r="F20" s="208">
        <f t="shared" ref="F20:I20" si="4">IF(ISBLANK(F24),0,F24-F18)</f>
        <v>0</v>
      </c>
      <c r="G20" s="208">
        <f t="shared" si="4"/>
        <v>0</v>
      </c>
      <c r="H20" s="208">
        <f t="shared" si="4"/>
        <v>0</v>
      </c>
      <c r="I20" s="208">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5" t="s">
        <v>201</v>
      </c>
      <c r="C24" s="155" t="s">
        <v>202</v>
      </c>
      <c r="D24" s="75" t="s">
        <v>194</v>
      </c>
      <c r="E24" s="312">
        <v>380.75203203528878</v>
      </c>
      <c r="F24" s="312"/>
      <c r="G24" s="312"/>
      <c r="H24" s="312"/>
      <c r="I24" s="312"/>
    </row>
    <row r="25" spans="2:10" s="2" customFormat="1">
      <c r="B25" s="66"/>
      <c r="C25" s="66"/>
      <c r="D25" s="69"/>
    </row>
    <row r="26" spans="2:10" s="2" customFormat="1">
      <c r="B26" s="155" t="s">
        <v>203</v>
      </c>
      <c r="C26" s="155"/>
      <c r="D26" s="69"/>
      <c r="E26" s="69"/>
      <c r="F26" s="69"/>
      <c r="G26" s="69"/>
      <c r="H26" s="69"/>
      <c r="I26" s="69"/>
      <c r="J26" s="69"/>
    </row>
    <row r="27" spans="2:10" s="2" customFormat="1">
      <c r="B27" s="315" t="s">
        <v>576</v>
      </c>
      <c r="C27" s="315"/>
      <c r="D27" s="75" t="s">
        <v>194</v>
      </c>
      <c r="E27" s="204">
        <v>0</v>
      </c>
      <c r="F27" s="204"/>
      <c r="G27" s="204"/>
      <c r="H27" s="204"/>
      <c r="I27" s="204"/>
    </row>
    <row r="28" spans="2:10" s="2" customFormat="1">
      <c r="B28" s="315" t="s">
        <v>577</v>
      </c>
      <c r="C28" s="315"/>
      <c r="D28" s="75" t="s">
        <v>194</v>
      </c>
      <c r="E28" s="204">
        <v>0</v>
      </c>
      <c r="F28" s="204"/>
      <c r="G28" s="204"/>
      <c r="H28" s="204"/>
      <c r="I28" s="204"/>
    </row>
    <row r="29" spans="2:10" s="2" customFormat="1">
      <c r="B29" s="315" t="s">
        <v>578</v>
      </c>
      <c r="C29" s="315"/>
      <c r="D29" s="75" t="s">
        <v>194</v>
      </c>
      <c r="E29" s="204">
        <v>23.721784491036843</v>
      </c>
      <c r="F29" s="204"/>
      <c r="G29" s="204"/>
      <c r="H29" s="204"/>
      <c r="I29" s="204"/>
    </row>
    <row r="30" spans="2:10" s="2" customFormat="1">
      <c r="B30" s="315" t="s">
        <v>579</v>
      </c>
      <c r="C30" s="315"/>
      <c r="D30" s="75" t="s">
        <v>194</v>
      </c>
      <c r="E30" s="204">
        <v>0</v>
      </c>
      <c r="F30" s="204"/>
      <c r="G30" s="204"/>
      <c r="H30" s="204"/>
      <c r="I30" s="204"/>
    </row>
    <row r="31" spans="2:10" s="2" customFormat="1">
      <c r="B31" s="315" t="s">
        <v>580</v>
      </c>
      <c r="C31" s="315"/>
      <c r="D31" s="75" t="s">
        <v>194</v>
      </c>
      <c r="E31" s="204">
        <v>0</v>
      </c>
      <c r="F31" s="204"/>
      <c r="G31" s="204"/>
      <c r="H31" s="204"/>
      <c r="I31" s="204"/>
    </row>
    <row r="32" spans="2:10" s="2" customFormat="1">
      <c r="B32" s="315" t="s">
        <v>581</v>
      </c>
      <c r="C32" s="315"/>
      <c r="D32" s="75" t="s">
        <v>194</v>
      </c>
      <c r="E32" s="204">
        <v>0</v>
      </c>
      <c r="F32" s="204"/>
      <c r="G32" s="204"/>
      <c r="H32" s="204"/>
      <c r="I32" s="204"/>
    </row>
    <row r="33" spans="2:9" s="2" customFormat="1">
      <c r="B33" s="315" t="s">
        <v>582</v>
      </c>
      <c r="C33" s="315"/>
      <c r="D33" s="75" t="s">
        <v>194</v>
      </c>
      <c r="E33" s="204">
        <v>0</v>
      </c>
      <c r="F33" s="204"/>
      <c r="G33" s="204"/>
      <c r="H33" s="204"/>
      <c r="I33" s="204"/>
    </row>
    <row r="34" spans="2:9" s="2" customFormat="1">
      <c r="B34" s="468" t="s">
        <v>583</v>
      </c>
      <c r="C34" s="468"/>
      <c r="D34" s="75" t="s">
        <v>194</v>
      </c>
      <c r="E34" s="204">
        <v>0</v>
      </c>
      <c r="F34" s="204"/>
      <c r="G34" s="204"/>
      <c r="H34" s="204"/>
      <c r="I34" s="204"/>
    </row>
    <row r="35" spans="2:9" s="2" customFormat="1">
      <c r="B35" s="379" t="s">
        <v>584</v>
      </c>
      <c r="C35" s="313"/>
      <c r="D35" s="75" t="s">
        <v>194</v>
      </c>
      <c r="E35" s="204">
        <v>3.9</v>
      </c>
      <c r="F35" s="204"/>
      <c r="G35" s="204"/>
      <c r="H35" s="204"/>
      <c r="I35" s="204"/>
    </row>
    <row r="36" spans="2:9" s="2" customFormat="1">
      <c r="B36" s="155" t="s">
        <v>204</v>
      </c>
      <c r="C36" s="155"/>
      <c r="D36" s="75" t="s">
        <v>194</v>
      </c>
      <c r="E36" s="208">
        <f>SUM(E27:E35)</f>
        <v>27.621784491036841</v>
      </c>
      <c r="F36" s="208">
        <f t="shared" ref="F36:I36" si="5">SUM(F27:F35)</f>
        <v>0</v>
      </c>
      <c r="G36" s="208">
        <f t="shared" si="5"/>
        <v>0</v>
      </c>
      <c r="H36" s="208">
        <f t="shared" si="5"/>
        <v>0</v>
      </c>
      <c r="I36" s="208">
        <f t="shared" si="5"/>
        <v>0</v>
      </c>
    </row>
    <row r="37" spans="2:9" s="2" customFormat="1">
      <c r="B37" s="66"/>
      <c r="C37" s="66"/>
      <c r="D37" s="69"/>
    </row>
    <row r="38" spans="2:9" s="2" customFormat="1">
      <c r="B38" s="155" t="s">
        <v>205</v>
      </c>
      <c r="D38" s="155"/>
      <c r="E38" s="470"/>
    </row>
    <row r="39" spans="2:9" s="2" customFormat="1">
      <c r="B39" s="379" t="s">
        <v>561</v>
      </c>
      <c r="C39" s="379"/>
      <c r="D39" s="75" t="s">
        <v>194</v>
      </c>
      <c r="E39" s="204">
        <v>0</v>
      </c>
      <c r="F39" s="204"/>
      <c r="G39" s="204"/>
      <c r="H39" s="204"/>
      <c r="I39" s="204"/>
    </row>
    <row r="40" spans="2:9" s="2" customFormat="1">
      <c r="B40" s="379" t="s">
        <v>561</v>
      </c>
      <c r="C40" s="379"/>
      <c r="D40" s="75" t="s">
        <v>194</v>
      </c>
      <c r="E40" s="204">
        <v>0</v>
      </c>
      <c r="F40" s="204"/>
      <c r="G40" s="204"/>
      <c r="H40" s="204"/>
      <c r="I40" s="204"/>
    </row>
    <row r="41" spans="2:9" s="2" customFormat="1">
      <c r="B41" s="379" t="s">
        <v>561</v>
      </c>
      <c r="C41" s="379"/>
      <c r="D41" s="75" t="s">
        <v>194</v>
      </c>
      <c r="E41" s="204">
        <v>0</v>
      </c>
      <c r="F41" s="204"/>
      <c r="G41" s="204"/>
      <c r="H41" s="204"/>
      <c r="I41" s="204"/>
    </row>
    <row r="42" spans="2:9" s="2" customFormat="1">
      <c r="B42" s="379" t="s">
        <v>561</v>
      </c>
      <c r="C42" s="379"/>
      <c r="D42" s="75" t="s">
        <v>194</v>
      </c>
      <c r="E42" s="204">
        <v>0</v>
      </c>
      <c r="F42" s="204"/>
      <c r="G42" s="204"/>
      <c r="H42" s="204"/>
      <c r="I42" s="204"/>
    </row>
    <row r="43" spans="2:9" s="2" customFormat="1">
      <c r="B43" s="379" t="s">
        <v>561</v>
      </c>
      <c r="C43" s="379"/>
      <c r="D43" s="75" t="s">
        <v>194</v>
      </c>
      <c r="E43" s="204">
        <v>0</v>
      </c>
      <c r="F43" s="204"/>
      <c r="G43" s="204"/>
      <c r="H43" s="204"/>
      <c r="I43" s="204"/>
    </row>
    <row r="44" spans="2:9" s="2" customFormat="1">
      <c r="B44" s="379" t="s">
        <v>561</v>
      </c>
      <c r="C44" s="379"/>
      <c r="D44" s="75" t="s">
        <v>194</v>
      </c>
      <c r="E44" s="204">
        <v>0</v>
      </c>
      <c r="F44" s="204"/>
      <c r="G44" s="204"/>
      <c r="H44" s="204"/>
      <c r="I44" s="204"/>
    </row>
    <row r="45" spans="2:9" s="2" customFormat="1">
      <c r="B45" s="379" t="s">
        <v>561</v>
      </c>
      <c r="C45" s="379"/>
      <c r="D45" s="75" t="s">
        <v>194</v>
      </c>
      <c r="E45" s="204">
        <v>0</v>
      </c>
      <c r="F45" s="204"/>
      <c r="G45" s="204"/>
      <c r="H45" s="204"/>
      <c r="I45" s="204"/>
    </row>
    <row r="46" spans="2:9" s="2" customFormat="1">
      <c r="B46" s="379" t="s">
        <v>561</v>
      </c>
      <c r="C46" s="379"/>
      <c r="D46" s="75" t="s">
        <v>194</v>
      </c>
      <c r="E46" s="204">
        <v>0</v>
      </c>
      <c r="F46" s="204"/>
      <c r="G46" s="204"/>
      <c r="H46" s="204"/>
      <c r="I46" s="204"/>
    </row>
    <row r="47" spans="2:9" s="2" customFormat="1">
      <c r="B47" s="379" t="s">
        <v>561</v>
      </c>
      <c r="C47" s="379"/>
      <c r="D47" s="75" t="s">
        <v>194</v>
      </c>
      <c r="E47" s="204">
        <v>0</v>
      </c>
      <c r="F47" s="204"/>
      <c r="G47" s="204"/>
      <c r="H47" s="204"/>
      <c r="I47" s="204"/>
    </row>
    <row r="48" spans="2:9" s="2" customFormat="1">
      <c r="B48" s="379" t="s">
        <v>561</v>
      </c>
      <c r="C48" s="379"/>
      <c r="D48" s="75" t="s">
        <v>194</v>
      </c>
      <c r="E48" s="204">
        <v>0</v>
      </c>
      <c r="F48" s="204"/>
      <c r="G48" s="204"/>
      <c r="H48" s="204"/>
      <c r="I48" s="204"/>
    </row>
    <row r="49" spans="1:14" s="2" customFormat="1">
      <c r="B49" s="379" t="s">
        <v>561</v>
      </c>
      <c r="C49" s="379"/>
      <c r="D49" s="75" t="s">
        <v>194</v>
      </c>
      <c r="E49" s="204">
        <v>0</v>
      </c>
      <c r="F49" s="204"/>
      <c r="G49" s="204"/>
      <c r="H49" s="204"/>
      <c r="I49" s="204"/>
    </row>
    <row r="50" spans="1:14" s="2" customFormat="1">
      <c r="B50" s="379" t="s">
        <v>561</v>
      </c>
      <c r="C50" s="379"/>
      <c r="D50" s="75" t="s">
        <v>194</v>
      </c>
      <c r="E50" s="204">
        <v>0</v>
      </c>
      <c r="F50" s="204"/>
      <c r="G50" s="204"/>
      <c r="H50" s="204"/>
      <c r="I50" s="204"/>
    </row>
    <row r="51" spans="1:14" s="2" customFormat="1">
      <c r="B51" s="379" t="s">
        <v>561</v>
      </c>
      <c r="C51" s="379"/>
      <c r="D51" s="75" t="s">
        <v>194</v>
      </c>
      <c r="E51" s="204">
        <v>0</v>
      </c>
      <c r="F51" s="204"/>
      <c r="G51" s="204"/>
      <c r="H51" s="204"/>
      <c r="I51" s="204"/>
    </row>
    <row r="52" spans="1:14" s="2" customFormat="1">
      <c r="B52" s="379" t="s">
        <v>561</v>
      </c>
      <c r="C52" s="379"/>
      <c r="D52" s="75" t="s">
        <v>194</v>
      </c>
      <c r="E52" s="204">
        <v>0</v>
      </c>
      <c r="F52" s="204"/>
      <c r="G52" s="204"/>
      <c r="H52" s="204"/>
      <c r="I52" s="204"/>
    </row>
    <row r="53" spans="1:14" s="2" customFormat="1">
      <c r="B53" s="379" t="s">
        <v>561</v>
      </c>
      <c r="C53" s="379"/>
      <c r="D53" s="75" t="s">
        <v>194</v>
      </c>
      <c r="E53" s="204">
        <v>0</v>
      </c>
      <c r="F53" s="204"/>
      <c r="G53" s="204"/>
      <c r="H53" s="204"/>
      <c r="I53" s="204"/>
    </row>
    <row r="54" spans="1:14" s="2" customFormat="1">
      <c r="B54" s="686" t="s">
        <v>561</v>
      </c>
      <c r="C54" s="379"/>
      <c r="D54" s="75" t="s">
        <v>194</v>
      </c>
      <c r="E54" s="204">
        <v>0</v>
      </c>
      <c r="F54" s="204"/>
      <c r="G54" s="204"/>
      <c r="H54" s="204"/>
      <c r="I54" s="204"/>
    </row>
    <row r="55" spans="1:14" s="2" customFormat="1">
      <c r="B55" s="155" t="s">
        <v>206</v>
      </c>
      <c r="C55" s="155"/>
      <c r="D55" s="75" t="s">
        <v>194</v>
      </c>
      <c r="E55" s="208">
        <f t="shared" ref="E55:I55" si="6">SUM(E39:E54)</f>
        <v>0</v>
      </c>
      <c r="F55" s="208">
        <f t="shared" si="6"/>
        <v>0</v>
      </c>
      <c r="G55" s="208">
        <f t="shared" si="6"/>
        <v>0</v>
      </c>
      <c r="H55" s="208">
        <f t="shared" si="6"/>
        <v>0</v>
      </c>
      <c r="I55" s="208">
        <f t="shared" si="6"/>
        <v>0</v>
      </c>
    </row>
    <row r="56" spans="1:14" s="2" customFormat="1">
      <c r="B56" s="66"/>
      <c r="C56" s="66"/>
      <c r="D56" s="69"/>
      <c r="E56" s="31"/>
      <c r="F56" s="31"/>
      <c r="G56" s="31"/>
      <c r="H56" s="31"/>
      <c r="I56" s="31"/>
    </row>
    <row r="57" spans="1:14" s="2" customFormat="1">
      <c r="B57" s="292" t="s">
        <v>207</v>
      </c>
      <c r="C57" s="292"/>
      <c r="D57" s="75" t="s">
        <v>194</v>
      </c>
      <c r="E57" s="208">
        <f t="shared" ref="E57:I57" si="7">E24+E36+E55</f>
        <v>408.37381652632564</v>
      </c>
      <c r="F57" s="208">
        <f t="shared" si="7"/>
        <v>0</v>
      </c>
      <c r="G57" s="208">
        <f t="shared" si="7"/>
        <v>0</v>
      </c>
      <c r="H57" s="208">
        <f t="shared" si="7"/>
        <v>0</v>
      </c>
      <c r="I57" s="208">
        <f t="shared" si="7"/>
        <v>0</v>
      </c>
    </row>
    <row r="58" spans="1:14" s="2" customFormat="1">
      <c r="B58" s="357" t="s">
        <v>208</v>
      </c>
      <c r="C58" s="357"/>
      <c r="D58" s="75" t="s">
        <v>194</v>
      </c>
      <c r="E58" s="204">
        <v>408.4</v>
      </c>
      <c r="F58" s="204"/>
      <c r="G58" s="204"/>
      <c r="H58" s="204"/>
      <c r="I58" s="204"/>
    </row>
    <row r="59" spans="1:14" s="2" customFormat="1">
      <c r="B59" s="66" t="s">
        <v>209</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45" t="s">
        <v>210</v>
      </c>
      <c r="C63" s="245"/>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3" t="str">
        <f>IF(E$6&lt;=Reporting_Year,"Actuals","N/A")</f>
        <v>Actuals</v>
      </c>
      <c r="F65" s="153" t="str">
        <f>IF(F$6&lt;=Reporting_Year,"Actuals","N/A")</f>
        <v>N/A</v>
      </c>
      <c r="G65" s="153" t="str">
        <f>IF(G$6&lt;=Reporting_Year,"Actuals","N/A")</f>
        <v>N/A</v>
      </c>
      <c r="H65" s="153" t="str">
        <f>IF(H$6&lt;=Reporting_Year,"Actuals","N/A")</f>
        <v>N/A</v>
      </c>
      <c r="I65" s="153"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211</v>
      </c>
      <c r="C67" s="88"/>
      <c r="D67" s="75" t="s">
        <v>194</v>
      </c>
      <c r="E67" s="515">
        <f>E58</f>
        <v>408.4</v>
      </c>
      <c r="F67" s="515">
        <f t="shared" ref="F67:I67" si="8">F58</f>
        <v>0</v>
      </c>
      <c r="G67" s="515">
        <f t="shared" si="8"/>
        <v>0</v>
      </c>
      <c r="H67" s="515">
        <f t="shared" si="8"/>
        <v>0</v>
      </c>
      <c r="I67" s="515">
        <f t="shared" si="8"/>
        <v>0</v>
      </c>
      <c r="J67"/>
      <c r="K67"/>
      <c r="L67"/>
      <c r="M67"/>
      <c r="N67"/>
    </row>
    <row r="68" spans="1:14" s="2" customFormat="1">
      <c r="A68"/>
      <c r="B68" s="2" t="s">
        <v>201</v>
      </c>
      <c r="C68" s="88"/>
      <c r="D68" s="75" t="s">
        <v>194</v>
      </c>
      <c r="E68" s="515">
        <f>E24</f>
        <v>380.75203203528878</v>
      </c>
      <c r="F68" s="515">
        <f t="shared" ref="F68:I68" si="9">F24</f>
        <v>0</v>
      </c>
      <c r="G68" s="515">
        <f t="shared" si="9"/>
        <v>0</v>
      </c>
      <c r="H68" s="515">
        <f t="shared" si="9"/>
        <v>0</v>
      </c>
      <c r="I68" s="515">
        <f t="shared" si="9"/>
        <v>0</v>
      </c>
      <c r="J68"/>
      <c r="K68"/>
      <c r="L68"/>
      <c r="M68"/>
      <c r="N68"/>
    </row>
    <row r="69" spans="1:14" s="2" customFormat="1">
      <c r="A69"/>
      <c r="B69" s="357"/>
      <c r="C69" s="88"/>
      <c r="D69" s="75"/>
      <c r="E69" s="358"/>
      <c r="F69" s="358"/>
      <c r="G69" s="358"/>
      <c r="H69"/>
      <c r="I69"/>
      <c r="J69"/>
      <c r="K69"/>
      <c r="L69"/>
      <c r="M69"/>
      <c r="N69"/>
    </row>
    <row r="70" spans="1:14">
      <c r="B70" s="598"/>
    </row>
    <row r="71" spans="1:14">
      <c r="B71" s="130" t="s">
        <v>212</v>
      </c>
      <c r="D71" s="75" t="s">
        <v>194</v>
      </c>
      <c r="E71" s="515">
        <f>'R3 - Totex - Reconciliation'!D122</f>
        <v>84.9</v>
      </c>
      <c r="F71" s="515">
        <f>'R3 - Totex - Reconciliation'!E122</f>
        <v>0</v>
      </c>
      <c r="G71" s="515">
        <f>'R3 - Totex - Reconciliation'!F122</f>
        <v>0</v>
      </c>
      <c r="H71" s="515">
        <f>'R3 - Totex - Reconciliation'!G122</f>
        <v>0</v>
      </c>
      <c r="I71" s="515">
        <f>'R3 - Totex - Reconciliation'!H122</f>
        <v>0</v>
      </c>
    </row>
    <row r="72" spans="1:14">
      <c r="B72" s="7" t="s">
        <v>213</v>
      </c>
      <c r="D72"/>
    </row>
    <row r="73" spans="1:14" ht="8.1" customHeight="1">
      <c r="B73"/>
      <c r="D73"/>
    </row>
    <row r="74" spans="1:14" ht="12.6" customHeight="1">
      <c r="B74" s="2" t="s">
        <v>214</v>
      </c>
      <c r="D74" s="75" t="s">
        <v>194</v>
      </c>
      <c r="E74" s="642">
        <f>'R3 - Totex - Reconciliation'!D134</f>
        <v>7.4614720215080323</v>
      </c>
      <c r="F74" s="642">
        <f>'R3 - Totex - Reconciliation'!E134</f>
        <v>0</v>
      </c>
      <c r="G74" s="642">
        <f>'R3 - Totex - Reconciliation'!F134</f>
        <v>0</v>
      </c>
      <c r="H74" s="642">
        <f>'R3 - Totex - Reconciliation'!G134</f>
        <v>0</v>
      </c>
      <c r="I74" s="642">
        <f>'R3 - Totex - Reconciliation'!H134</f>
        <v>0</v>
      </c>
    </row>
    <row r="75" spans="1:14">
      <c r="B75" t="s">
        <v>215</v>
      </c>
      <c r="D75" s="75" t="s">
        <v>194</v>
      </c>
      <c r="E75" s="204">
        <v>0</v>
      </c>
      <c r="F75" s="204"/>
      <c r="G75" s="204"/>
      <c r="H75" s="204"/>
      <c r="I75" s="204"/>
    </row>
    <row r="76" spans="1:14" ht="5.0999999999999996" customHeight="1">
      <c r="B76"/>
      <c r="D76" s="88"/>
      <c r="E76" s="88"/>
      <c r="F76" s="88"/>
      <c r="G76" s="88"/>
      <c r="H76" s="88"/>
      <c r="I76" s="88"/>
      <c r="J76" s="88"/>
      <c r="L76" s="88"/>
      <c r="M76" s="88"/>
    </row>
    <row r="77" spans="1:14">
      <c r="B77" s="2" t="s">
        <v>216</v>
      </c>
      <c r="D77" s="75" t="s">
        <v>194</v>
      </c>
      <c r="E77" s="652">
        <f>'R3 - Totex - Reconciliation'!D122+'R3 - Totex - Reconciliation'!D134+E75</f>
        <v>92.361472021508035</v>
      </c>
      <c r="F77" s="652">
        <f>'R3 - Totex - Reconciliation'!E122+'R3 - Totex - Reconciliation'!E134+F75</f>
        <v>0</v>
      </c>
      <c r="G77" s="652">
        <f>'R3 - Totex - Reconciliation'!F122+'R3 - Totex - Reconciliation'!F134+G75</f>
        <v>0</v>
      </c>
      <c r="H77" s="652">
        <f>'R3 - Totex - Reconciliation'!G122+'R3 - Totex - Reconciliation'!G134+H75</f>
        <v>0</v>
      </c>
      <c r="I77" s="652">
        <f>'R3 - Totex - Reconciliation'!H122+'R3 - Totex - Reconciliation'!H134+I75</f>
        <v>0</v>
      </c>
    </row>
    <row r="78" spans="1:14">
      <c r="B78" s="7" t="s">
        <v>217</v>
      </c>
      <c r="D78" s="75" t="s">
        <v>194</v>
      </c>
      <c r="E78" s="533" t="str">
        <f>IF(ABS(E77-SUM(E71,E74))&lt;=materiality_threshold,"ok","error")</f>
        <v>ok</v>
      </c>
      <c r="F78" s="533" t="str">
        <f>IF(ABS(F77-SUM(F71,F74))&lt;=materiality_threshold,"ok","error")</f>
        <v>ok</v>
      </c>
      <c r="G78" s="533" t="str">
        <f>IF(ABS(G77-SUM(G71,G74))&lt;=materiality_threshold,"ok","error")</f>
        <v>ok</v>
      </c>
      <c r="H78" s="533" t="str">
        <f>IF(ABS(H77-SUM(H71,H74))&lt;=materiality_threshold,"ok","error")</f>
        <v>ok</v>
      </c>
      <c r="I78" s="533" t="str">
        <f>IF(ABS(I77-SUM(I71,I74))&lt;=materiality_threshold,"ok","error")</f>
        <v>ok</v>
      </c>
    </row>
    <row r="79" spans="1:14">
      <c r="B79"/>
      <c r="D79" s="75"/>
      <c r="E79" s="75"/>
      <c r="F79" s="75"/>
      <c r="G79" s="75"/>
      <c r="H79" s="75"/>
      <c r="I79" s="75"/>
    </row>
    <row r="80" spans="1:14">
      <c r="B80" s="130" t="s">
        <v>218</v>
      </c>
      <c r="D80" s="75" t="s">
        <v>194</v>
      </c>
      <c r="E80" s="601">
        <f>E67-E71</f>
        <v>323.5</v>
      </c>
      <c r="F80" s="601">
        <f>F67-F71</f>
        <v>0</v>
      </c>
      <c r="G80" s="601">
        <f>G67-G71</f>
        <v>0</v>
      </c>
      <c r="H80" s="601">
        <f>H67-H71</f>
        <v>0</v>
      </c>
      <c r="I80" s="601">
        <f>I67-I71</f>
        <v>0</v>
      </c>
    </row>
    <row r="81" spans="2:12">
      <c r="B81" s="348" t="s">
        <v>219</v>
      </c>
      <c r="D81" s="75" t="s">
        <v>194</v>
      </c>
      <c r="E81" s="601">
        <f>E68-E77</f>
        <v>288.39056001378071</v>
      </c>
      <c r="F81" s="601">
        <f>F68-F77</f>
        <v>0</v>
      </c>
      <c r="G81" s="601">
        <f>G68-G77</f>
        <v>0</v>
      </c>
      <c r="H81" s="601">
        <f>H68-H77</f>
        <v>0</v>
      </c>
      <c r="I81" s="601">
        <f>I68-I77</f>
        <v>0</v>
      </c>
    </row>
    <row r="83" spans="2:12">
      <c r="B83" s="130" t="s">
        <v>220</v>
      </c>
      <c r="D83" s="75" t="s">
        <v>194</v>
      </c>
      <c r="E83" s="204">
        <v>94.2</v>
      </c>
      <c r="F83" s="204"/>
      <c r="G83" s="204"/>
      <c r="H83" s="204"/>
      <c r="I83" s="204"/>
    </row>
    <row r="84" spans="2:12" ht="15.95" customHeight="1">
      <c r="B84" s="7" t="s">
        <v>213</v>
      </c>
    </row>
    <row r="85" spans="2:12" ht="21.95" customHeight="1">
      <c r="B85" t="s">
        <v>221</v>
      </c>
      <c r="D85"/>
    </row>
    <row r="86" spans="2:12">
      <c r="B86" s="66" t="s">
        <v>222</v>
      </c>
      <c r="D86" s="75" t="s">
        <v>194</v>
      </c>
      <c r="E86" s="528">
        <v>6.7360691776905917</v>
      </c>
      <c r="F86" s="528"/>
      <c r="G86" s="528"/>
      <c r="H86" s="528"/>
      <c r="I86" s="528"/>
    </row>
    <row r="87" spans="2:12">
      <c r="B87" s="663" t="s">
        <v>223</v>
      </c>
      <c r="D87" s="75" t="s">
        <v>194</v>
      </c>
      <c r="E87" s="204">
        <v>0</v>
      </c>
      <c r="F87" s="204"/>
      <c r="G87" s="204"/>
      <c r="H87" s="204"/>
      <c r="I87" s="204"/>
    </row>
    <row r="88" spans="2:12">
      <c r="B88" s="66" t="s">
        <v>224</v>
      </c>
      <c r="D88" s="75" t="s">
        <v>194</v>
      </c>
      <c r="E88" s="575">
        <f>SUM(E86:E87)</f>
        <v>6.7360691776905917</v>
      </c>
      <c r="F88" s="575">
        <f t="shared" ref="F88:I88" si="10">SUM(F86:F87)</f>
        <v>0</v>
      </c>
      <c r="G88" s="575">
        <f t="shared" si="10"/>
        <v>0</v>
      </c>
      <c r="H88" s="575">
        <f t="shared" si="10"/>
        <v>0</v>
      </c>
      <c r="I88" s="575">
        <f t="shared" si="10"/>
        <v>0</v>
      </c>
    </row>
    <row r="89" spans="2:12" ht="5.0999999999999996" customHeight="1">
      <c r="B89" s="66"/>
      <c r="D89" s="75"/>
      <c r="E89" s="75"/>
      <c r="F89" s="75"/>
      <c r="G89" s="75"/>
      <c r="H89" s="75"/>
      <c r="I89" s="75"/>
      <c r="L89" s="75"/>
    </row>
    <row r="90" spans="2:12">
      <c r="B90" s="2" t="s">
        <v>225</v>
      </c>
      <c r="D90" s="75" t="s">
        <v>194</v>
      </c>
      <c r="E90" s="530">
        <f>E83-E88</f>
        <v>87.463930822309408</v>
      </c>
      <c r="F90" s="530">
        <f t="shared" ref="F90:I90" si="11">F83-F88</f>
        <v>0</v>
      </c>
      <c r="G90" s="530">
        <f t="shared" si="11"/>
        <v>0</v>
      </c>
      <c r="H90" s="530">
        <f t="shared" si="11"/>
        <v>0</v>
      </c>
      <c r="I90" s="530">
        <f t="shared" si="11"/>
        <v>0</v>
      </c>
    </row>
    <row r="91" spans="2:12">
      <c r="B91"/>
      <c r="C91"/>
      <c r="D91"/>
    </row>
    <row r="92" spans="2:12">
      <c r="B92" s="683" t="s">
        <v>226</v>
      </c>
      <c r="C92" s="608"/>
      <c r="D92" s="609" t="s">
        <v>194</v>
      </c>
      <c r="E92" s="225">
        <f>E80-E83</f>
        <v>229.3</v>
      </c>
      <c r="F92" s="225">
        <f t="shared" ref="F92:I92" si="12">F80-F83</f>
        <v>0</v>
      </c>
      <c r="G92" s="225">
        <f t="shared" si="12"/>
        <v>0</v>
      </c>
      <c r="H92" s="225">
        <f t="shared" si="12"/>
        <v>0</v>
      </c>
      <c r="I92" s="225">
        <f t="shared" si="12"/>
        <v>0</v>
      </c>
    </row>
    <row r="93" spans="2:12">
      <c r="B93" s="603" t="s">
        <v>227</v>
      </c>
      <c r="D93" s="75" t="s">
        <v>194</v>
      </c>
      <c r="E93" s="530">
        <f>E81-E90</f>
        <v>200.92662919147131</v>
      </c>
      <c r="F93" s="530">
        <f t="shared" ref="F93:I93" si="13">F81-F90</f>
        <v>0</v>
      </c>
      <c r="G93" s="530">
        <f t="shared" si="13"/>
        <v>0</v>
      </c>
      <c r="H93" s="530">
        <f t="shared" si="13"/>
        <v>0</v>
      </c>
      <c r="I93" s="530">
        <f t="shared" si="13"/>
        <v>0</v>
      </c>
    </row>
    <row r="94" spans="2:12">
      <c r="B94" s="603"/>
      <c r="D94" s="75"/>
      <c r="E94" s="517"/>
      <c r="F94" s="517"/>
      <c r="G94" s="517"/>
      <c r="H94" s="517"/>
      <c r="I94" s="531"/>
    </row>
    <row r="95" spans="2:12">
      <c r="B95" s="604" t="s">
        <v>228</v>
      </c>
      <c r="D95" s="75" t="s">
        <v>194</v>
      </c>
      <c r="E95" s="516">
        <f>'R5 - Financing'!D9</f>
        <v>29.889373310000003</v>
      </c>
      <c r="F95" s="516">
        <f>'R5 - Financing'!E9</f>
        <v>39.38582745230309</v>
      </c>
      <c r="G95" s="516">
        <f>'R5 - Financing'!F9</f>
        <v>37.458714104443864</v>
      </c>
      <c r="H95" s="516">
        <f>'R5 - Financing'!G9</f>
        <v>33.937898793344417</v>
      </c>
      <c r="I95" s="516">
        <f>'R5 - Financing'!H9</f>
        <v>30.975782039658824</v>
      </c>
    </row>
    <row r="96" spans="2:12">
      <c r="B96" s="605" t="s">
        <v>229</v>
      </c>
      <c r="D96" s="75" t="s">
        <v>194</v>
      </c>
      <c r="E96" s="516">
        <f>'R5 - Financing'!D29</f>
        <v>29.036623310000003</v>
      </c>
      <c r="F96" s="516">
        <f>'R5 - Financing'!E29</f>
        <v>38.833077452303087</v>
      </c>
      <c r="G96" s="516">
        <f>'R5 - Financing'!F29</f>
        <v>36.905964104443861</v>
      </c>
      <c r="H96" s="516">
        <f>'R5 - Financing'!G29</f>
        <v>33.431211293344418</v>
      </c>
      <c r="I96" s="516">
        <f>'R5 - Financing'!H29</f>
        <v>30.975782039658824</v>
      </c>
    </row>
    <row r="97" spans="2:9">
      <c r="B97" s="600" t="s">
        <v>217</v>
      </c>
      <c r="D97" s="75" t="s">
        <v>194</v>
      </c>
      <c r="E97" s="530">
        <f>E95-E96</f>
        <v>0.85275000000000034</v>
      </c>
      <c r="F97" s="530">
        <f t="shared" ref="F97" si="14">F95-F96</f>
        <v>0.55275000000000318</v>
      </c>
      <c r="G97" s="530">
        <f t="shared" ref="G97" si="15">G95-G96</f>
        <v>0.55275000000000318</v>
      </c>
      <c r="H97" s="530">
        <f t="shared" ref="H97" si="16">H95-H96</f>
        <v>0.50668749999999818</v>
      </c>
      <c r="I97" s="606">
        <f t="shared" ref="I97" si="17">I95-I96</f>
        <v>0</v>
      </c>
    </row>
    <row r="98" spans="2:9">
      <c r="B98" s="603"/>
      <c r="D98" s="75"/>
      <c r="E98" s="517"/>
      <c r="F98" s="517"/>
      <c r="G98" s="517"/>
      <c r="H98" s="517"/>
      <c r="I98" s="531"/>
    </row>
    <row r="99" spans="2:9">
      <c r="B99" s="604" t="s">
        <v>230</v>
      </c>
      <c r="D99" s="75" t="s">
        <v>194</v>
      </c>
      <c r="E99" s="204">
        <v>107.60000000000001</v>
      </c>
      <c r="F99" s="204"/>
      <c r="G99" s="204"/>
      <c r="H99" s="204"/>
      <c r="I99" s="204"/>
    </row>
    <row r="100" spans="2:9">
      <c r="B100" s="604" t="s">
        <v>231</v>
      </c>
      <c r="D100" s="75" t="s">
        <v>194</v>
      </c>
      <c r="E100" s="204">
        <v>-85.3</v>
      </c>
      <c r="F100" s="204"/>
      <c r="G100" s="204"/>
      <c r="H100" s="204"/>
      <c r="I100" s="204"/>
    </row>
    <row r="101" spans="2:9">
      <c r="B101" s="604" t="s">
        <v>232</v>
      </c>
      <c r="D101" s="75" t="s">
        <v>194</v>
      </c>
      <c r="E101" s="225">
        <f>SUM(E99:E100)</f>
        <v>22.300000000000011</v>
      </c>
      <c r="F101" s="225">
        <f t="shared" ref="F101:I101" si="18">SUM(F99:F100)</f>
        <v>0</v>
      </c>
      <c r="G101" s="225">
        <f t="shared" si="18"/>
        <v>0</v>
      </c>
      <c r="H101" s="225">
        <f t="shared" si="18"/>
        <v>0</v>
      </c>
      <c r="I101" s="225">
        <f t="shared" si="18"/>
        <v>0</v>
      </c>
    </row>
    <row r="102" spans="2:9">
      <c r="B102" s="605" t="s">
        <v>233</v>
      </c>
      <c r="D102" s="75" t="s">
        <v>194</v>
      </c>
      <c r="E102" s="516">
        <f>Adjusted_regulated_tax_liability</f>
        <v>18.483557149326828</v>
      </c>
      <c r="F102" s="516">
        <f>Adjusted_regulated_tax_liability</f>
        <v>18.199297110062805</v>
      </c>
      <c r="G102" s="516">
        <f>Adjusted_regulated_tax_liability</f>
        <v>48.188905268530164</v>
      </c>
      <c r="H102" s="516">
        <f>Adjusted_regulated_tax_liability</f>
        <v>49.442624558182487</v>
      </c>
      <c r="I102" s="516">
        <f>Adjusted_regulated_tax_liability</f>
        <v>44.967336536915248</v>
      </c>
    </row>
    <row r="103" spans="2:9">
      <c r="B103" s="600" t="s">
        <v>217</v>
      </c>
      <c r="D103" s="75" t="s">
        <v>194</v>
      </c>
      <c r="E103" s="530">
        <f>E101-E102</f>
        <v>3.8164428506731838</v>
      </c>
      <c r="F103" s="530">
        <f t="shared" ref="F103:I103" si="19">SUM(F101:F102)</f>
        <v>18.199297110062805</v>
      </c>
      <c r="G103" s="530">
        <f t="shared" si="19"/>
        <v>48.188905268530164</v>
      </c>
      <c r="H103" s="530">
        <f t="shared" si="19"/>
        <v>49.442624558182487</v>
      </c>
      <c r="I103" s="530">
        <f t="shared" si="19"/>
        <v>44.967336536915248</v>
      </c>
    </row>
    <row r="104" spans="2:9">
      <c r="B104" s="529"/>
      <c r="D104" s="75"/>
      <c r="E104" s="517"/>
      <c r="F104" s="517"/>
      <c r="G104" s="517"/>
      <c r="H104" s="517"/>
      <c r="I104" s="531"/>
    </row>
    <row r="105" spans="2:9">
      <c r="B105" s="532" t="s">
        <v>234</v>
      </c>
      <c r="D105" s="75" t="s">
        <v>194</v>
      </c>
      <c r="E105" s="225">
        <f>IFERROR(E92-E95-E99,0)</f>
        <v>91.810626690000007</v>
      </c>
      <c r="F105" s="225">
        <f t="shared" ref="F105:I105" si="20">IFERROR(F92-F95-F99,0)</f>
        <v>-39.38582745230309</v>
      </c>
      <c r="G105" s="225">
        <f t="shared" si="20"/>
        <v>-37.458714104443864</v>
      </c>
      <c r="H105" s="225">
        <f t="shared" si="20"/>
        <v>-33.937898793344417</v>
      </c>
      <c r="I105" s="225">
        <f t="shared" si="20"/>
        <v>-30.975782039658824</v>
      </c>
    </row>
    <row r="106" spans="2:9">
      <c r="B106" s="602" t="s">
        <v>235</v>
      </c>
      <c r="D106" s="75" t="s">
        <v>194</v>
      </c>
      <c r="E106" s="225">
        <f>IFERROR(E93-E96-E102,0)</f>
        <v>153.40644873214447</v>
      </c>
      <c r="F106" s="225">
        <f t="shared" ref="F106:I106" si="21">IFERROR(F93-F96-F102,0)</f>
        <v>-57.032374562365888</v>
      </c>
      <c r="G106" s="225">
        <f t="shared" si="21"/>
        <v>-85.094869372974017</v>
      </c>
      <c r="H106" s="225">
        <f t="shared" si="21"/>
        <v>-82.873835851526906</v>
      </c>
      <c r="I106" s="225">
        <f t="shared" si="21"/>
        <v>-75.943118576574079</v>
      </c>
    </row>
    <row r="107" spans="2:9">
      <c r="B107" s="600" t="s">
        <v>217</v>
      </c>
      <c r="D107" s="75" t="s">
        <v>194</v>
      </c>
      <c r="E107" s="530">
        <f>IFERROR(E105-E106,0)</f>
        <v>-61.595822042144462</v>
      </c>
      <c r="F107" s="530">
        <f t="shared" ref="F107:I107" si="22">IFERROR(F105-F106,0)</f>
        <v>17.646547110062798</v>
      </c>
      <c r="G107" s="530">
        <f t="shared" si="22"/>
        <v>47.636155268530153</v>
      </c>
      <c r="H107" s="530">
        <f t="shared" si="22"/>
        <v>48.935937058182489</v>
      </c>
      <c r="I107" s="530">
        <f t="shared" si="22"/>
        <v>44.967336536915255</v>
      </c>
    </row>
    <row r="108" spans="2:9">
      <c r="B108" s="529"/>
      <c r="C108"/>
      <c r="D108"/>
      <c r="I108" s="364"/>
    </row>
    <row r="109" spans="2:9">
      <c r="B109" s="534"/>
      <c r="C109" s="535"/>
      <c r="D109" s="536"/>
      <c r="E109" s="537"/>
      <c r="F109" s="536"/>
      <c r="G109" s="536"/>
      <c r="H109" s="536"/>
      <c r="I109" s="538"/>
    </row>
    <row r="110" spans="2:9">
      <c r="B110"/>
      <c r="D110"/>
    </row>
    <row r="111" spans="2:9">
      <c r="B111"/>
      <c r="C111"/>
      <c r="D111"/>
    </row>
    <row r="112" spans="2:9">
      <c r="B112" s="359"/>
      <c r="D112"/>
    </row>
    <row r="113" spans="2:9">
      <c r="B113" s="6" t="s">
        <v>236</v>
      </c>
      <c r="C113"/>
      <c r="D113"/>
    </row>
    <row r="114" spans="2:9">
      <c r="B114" s="736" t="s">
        <v>585</v>
      </c>
      <c r="C114" s="737"/>
      <c r="D114" s="737"/>
      <c r="E114" s="737"/>
      <c r="F114" s="737"/>
      <c r="G114" s="737"/>
      <c r="H114" s="737"/>
      <c r="I114" s="738"/>
    </row>
    <row r="115" spans="2:9">
      <c r="B115" s="739"/>
      <c r="C115" s="740"/>
      <c r="D115" s="740"/>
      <c r="E115" s="740"/>
      <c r="F115" s="740"/>
      <c r="G115" s="740"/>
      <c r="H115" s="740"/>
      <c r="I115" s="741"/>
    </row>
    <row r="116" spans="2:9">
      <c r="B116" s="739"/>
      <c r="C116" s="740"/>
      <c r="D116" s="740"/>
      <c r="E116" s="740"/>
      <c r="F116" s="740"/>
      <c r="G116" s="740"/>
      <c r="H116" s="740"/>
      <c r="I116" s="741"/>
    </row>
    <row r="117" spans="2:9">
      <c r="B117" s="739"/>
      <c r="C117" s="740"/>
      <c r="D117" s="740"/>
      <c r="E117" s="740"/>
      <c r="F117" s="740"/>
      <c r="G117" s="740"/>
      <c r="H117" s="740"/>
      <c r="I117" s="741"/>
    </row>
    <row r="118" spans="2:9">
      <c r="B118" s="739"/>
      <c r="C118" s="740"/>
      <c r="D118" s="740"/>
      <c r="E118" s="740"/>
      <c r="F118" s="740"/>
      <c r="G118" s="740"/>
      <c r="H118" s="740"/>
      <c r="I118" s="741"/>
    </row>
    <row r="119" spans="2:9">
      <c r="B119" s="742"/>
      <c r="C119" s="743"/>
      <c r="D119" s="743"/>
      <c r="E119" s="743"/>
      <c r="F119" s="743"/>
      <c r="G119" s="743"/>
      <c r="H119" s="743"/>
      <c r="I119" s="744"/>
    </row>
    <row r="121" spans="2:9" ht="13.5" customHeight="1"/>
    <row r="127" spans="2:9" ht="15" customHeight="1"/>
    <row r="141" ht="91.5" customHeight="1"/>
  </sheetData>
  <mergeCells count="1">
    <mergeCell ref="B114:I119"/>
  </mergeCells>
  <conditionalFormatting sqref="E59:I59">
    <cfRule type="expression" dxfId="84" priority="53">
      <formula>E$5="Forecast"</formula>
    </cfRule>
  </conditionalFormatting>
  <conditionalFormatting sqref="C35">
    <cfRule type="expression" dxfId="83" priority="49">
      <formula>C$5="Forecast"</formula>
    </cfRule>
  </conditionalFormatting>
  <conditionalFormatting sqref="E86:I86 E71:I71 E67:I69">
    <cfRule type="expression" dxfId="82" priority="45">
      <formula>D$12="N/A"</formula>
    </cfRule>
  </conditionalFormatting>
  <conditionalFormatting sqref="E65:H65">
    <cfRule type="expression" dxfId="81" priority="19">
      <formula>AND(E$5="Actuals",F$5="N/A")</formula>
    </cfRule>
  </conditionalFormatting>
  <conditionalFormatting sqref="I65">
    <cfRule type="expression" dxfId="80" priority="231">
      <formula>AND(I$5="Actuals",#REF!="N/A")</formula>
    </cfRule>
  </conditionalFormatting>
  <conditionalFormatting sqref="E7:I7">
    <cfRule type="expression" dxfId="79" priority="18">
      <formula>AND(E$5="Actuals",F$5="Forecast")</formula>
    </cfRule>
  </conditionalFormatting>
  <conditionalFormatting sqref="E6:H6">
    <cfRule type="expression" dxfId="78" priority="16">
      <formula>AND(E$5="Actuals",F$5="Forecast")</formula>
    </cfRule>
  </conditionalFormatting>
  <conditionalFormatting sqref="I6">
    <cfRule type="expression" dxfId="77" priority="17">
      <formula>AND(I$5="Actuals",#REF!="Forecast")</formula>
    </cfRule>
  </conditionalFormatting>
  <conditionalFormatting sqref="E27:I35">
    <cfRule type="expression" priority="15">
      <formula>$E6="Forecast"</formula>
    </cfRule>
  </conditionalFormatting>
  <conditionalFormatting sqref="E27:I35 E39:I54">
    <cfRule type="expression" priority="14">
      <formula>E$5="Forecast"</formula>
    </cfRule>
  </conditionalFormatting>
  <conditionalFormatting sqref="E20:I20 E27:I36 E39:I55 E57:I59 E65:I65 E83:I83 E71:I71 E67:I68 E105:I106 E86:I88 E90:I90 E92:I93 E95:I97 E74:I74 E78:I78 E99:I103 E24:I24 E13:I18">
    <cfRule type="expression" dxfId="76" priority="13">
      <formula>E$5="Forecast"</formula>
    </cfRule>
  </conditionalFormatting>
  <conditionalFormatting sqref="E107:I107">
    <cfRule type="expression" dxfId="75" priority="11">
      <formula>E$5="Forecast"</formula>
    </cfRule>
  </conditionalFormatting>
  <conditionalFormatting sqref="E77:I77">
    <cfRule type="expression" dxfId="74" priority="8">
      <formula>E$5="Forecast"</formula>
    </cfRule>
  </conditionalFormatting>
  <conditionalFormatting sqref="E77:I77">
    <cfRule type="expression" dxfId="73" priority="9">
      <formula>D$12="N/A"</formula>
    </cfRule>
  </conditionalFormatting>
  <conditionalFormatting sqref="E75:I75">
    <cfRule type="expression" dxfId="72" priority="5">
      <formula>E$5="Forecast"</formula>
    </cfRule>
  </conditionalFormatting>
  <conditionalFormatting sqref="E24:I24">
    <cfRule type="expression" priority="4">
      <formula>$E3="Forecast"</formula>
    </cfRule>
  </conditionalFormatting>
  <conditionalFormatting sqref="E24:I24">
    <cfRule type="expression" priority="3">
      <formula>E$5="Forecast"</formula>
    </cfRule>
  </conditionalFormatting>
  <conditionalFormatting sqref="E24">
    <cfRule type="expression" priority="2">
      <formula>$E3="Forecast"</formula>
    </cfRule>
  </conditionalFormatting>
  <conditionalFormatting sqref="E24">
    <cfRule type="expression" priority="1">
      <formula>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&amp;C&amp;"Calibri"&amp;11&amp;K000000_x000D_&amp;1#&amp;"Calibri"&amp;12&amp;K008000Internal Use</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27"/>
  <sheetViews>
    <sheetView showGridLines="0" zoomScaleNormal="100" workbookViewId="0">
      <pane ySplit="7" topLeftCell="A9" activePane="bottomLeft" state="frozen"/>
      <selection activeCell="B1" sqref="B1"/>
      <selection pane="bottomLeft" activeCell="B2" sqref="B2"/>
    </sheetView>
  </sheetViews>
  <sheetFormatPr defaultColWidth="9.125" defaultRowHeight="12.75"/>
  <cols>
    <col min="1" max="1" width="8.375" style="2" customWidth="1"/>
    <col min="2" max="2" width="64.5" style="66" customWidth="1"/>
    <col min="3" max="3" width="13.375" style="69" customWidth="1"/>
    <col min="4" max="8" width="11.125" style="2" customWidth="1"/>
    <col min="9" max="10" width="12.875" style="2" customWidth="1"/>
    <col min="11" max="16384" width="9.125" style="2"/>
  </cols>
  <sheetData>
    <row r="1" spans="1:16" customFormat="1" ht="20.25">
      <c r="A1" s="677" t="s">
        <v>237</v>
      </c>
      <c r="B1" s="399"/>
      <c r="C1" s="406"/>
      <c r="D1" s="401"/>
      <c r="E1" s="401"/>
      <c r="F1" s="401"/>
      <c r="G1" s="401"/>
      <c r="H1" s="401"/>
      <c r="I1" s="402"/>
      <c r="J1" s="402"/>
      <c r="K1" s="684"/>
    </row>
    <row r="2" spans="1:16" customFormat="1" ht="20.25">
      <c r="A2" s="299" t="str">
        <f>Licensee</f>
        <v>SPT</v>
      </c>
      <c r="B2" s="302"/>
      <c r="C2" s="68"/>
      <c r="D2" s="16"/>
      <c r="E2" s="16"/>
      <c r="F2" s="16"/>
      <c r="G2" s="16"/>
      <c r="H2" s="16"/>
      <c r="I2" s="15"/>
      <c r="J2" s="15"/>
      <c r="K2" s="65"/>
    </row>
    <row r="3" spans="1:16" customFormat="1" ht="20.25">
      <c r="A3" s="294">
        <f>Reporting_Year</f>
        <v>2022</v>
      </c>
      <c r="B3" s="573"/>
      <c r="C3" s="574"/>
      <c r="D3" s="571"/>
      <c r="E3" s="571"/>
      <c r="F3" s="571"/>
      <c r="G3" s="571"/>
      <c r="H3" s="571"/>
      <c r="I3" s="572"/>
      <c r="J3" s="572"/>
      <c r="K3" s="119"/>
    </row>
    <row r="4" spans="1:16" ht="12.75" customHeight="1"/>
    <row r="5" spans="1:16" ht="30" customHeight="1">
      <c r="D5" s="153" t="str">
        <f>IF(D6&lt;=Reporting_Year,"Actuals","Forecast")</f>
        <v>Actuals</v>
      </c>
      <c r="E5" s="153" t="str">
        <f t="shared" ref="E5:I5" si="0">IF(E6&lt;=Reporting_Year,"Actuals","Forecast")</f>
        <v>Forecast</v>
      </c>
      <c r="F5" s="153" t="str">
        <f t="shared" si="0"/>
        <v>Forecast</v>
      </c>
      <c r="G5" s="153" t="str">
        <f t="shared" si="0"/>
        <v>Forecast</v>
      </c>
      <c r="H5" s="153" t="str">
        <f t="shared" si="0"/>
        <v>Forecast</v>
      </c>
      <c r="I5" s="153"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155</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13" t="s">
        <v>238</v>
      </c>
      <c r="C8" s="128"/>
      <c r="D8" s="128"/>
      <c r="E8" s="128"/>
      <c r="F8" s="128"/>
      <c r="G8" s="128"/>
      <c r="H8" s="129"/>
      <c r="I8" s="129"/>
      <c r="J8" s="129"/>
      <c r="K8" s="66"/>
    </row>
    <row r="9" spans="1:16">
      <c r="B9" s="675" t="s">
        <v>529</v>
      </c>
      <c r="C9" s="676"/>
      <c r="D9" s="676"/>
      <c r="E9" s="676"/>
      <c r="F9" s="676"/>
      <c r="G9" s="676"/>
      <c r="H9" s="676"/>
      <c r="I9" s="676"/>
      <c r="J9" s="676"/>
      <c r="K9" s="66"/>
      <c r="L9" s="66"/>
    </row>
    <row r="11" spans="1:16">
      <c r="B11" s="372" t="s">
        <v>239</v>
      </c>
      <c r="C11" s="371"/>
      <c r="D11" s="41"/>
      <c r="E11" s="41"/>
      <c r="F11" s="41"/>
      <c r="G11" s="41"/>
      <c r="H11" s="41"/>
      <c r="I11" s="41"/>
      <c r="J11" s="41"/>
      <c r="K11" s="66"/>
    </row>
    <row r="12" spans="1:16">
      <c r="B12" s="155"/>
      <c r="D12" s="1"/>
      <c r="E12" s="1"/>
      <c r="F12" s="1"/>
      <c r="G12" s="1"/>
      <c r="H12" s="1"/>
      <c r="I12" s="1"/>
      <c r="J12" s="1"/>
      <c r="K12" s="66"/>
    </row>
    <row r="13" spans="1:16">
      <c r="B13" s="88" t="s">
        <v>240</v>
      </c>
      <c r="C13" s="38" t="str">
        <f>Data!$C$9</f>
        <v>£m 18/19</v>
      </c>
      <c r="D13" s="428">
        <v>210.33543374088495</v>
      </c>
      <c r="E13" s="428">
        <v>307.92523983509091</v>
      </c>
      <c r="F13" s="428">
        <v>267.6603413835598</v>
      </c>
      <c r="G13" s="428">
        <v>230.5202474977844</v>
      </c>
      <c r="H13" s="428">
        <v>171.02779555200402</v>
      </c>
      <c r="I13" s="55">
        <f>SUM(D13:INDEX(D13:H13,0,MATCH('RFPR cover'!$C$9,$D$6:$H$6,0)))</f>
        <v>210.33543374088495</v>
      </c>
      <c r="J13" s="56">
        <f>SUM(D13:H13)</f>
        <v>1187.4690580093238</v>
      </c>
      <c r="K13" s="66"/>
    </row>
    <row r="14" spans="1:16" ht="17.100000000000001" customHeight="1">
      <c r="B14" s="67" t="s">
        <v>241</v>
      </c>
      <c r="C14" s="38" t="str">
        <f>Data!$C$9</f>
        <v>£m 18/19</v>
      </c>
      <c r="D14" s="428">
        <v>285.11210921562338</v>
      </c>
      <c r="E14" s="428">
        <v>292.73935165842164</v>
      </c>
      <c r="F14" s="428">
        <v>253.87469942241927</v>
      </c>
      <c r="G14" s="428">
        <v>202.50225033255026</v>
      </c>
      <c r="H14" s="428">
        <v>176.00809349099359</v>
      </c>
      <c r="I14" s="53">
        <f>SUM(D14:INDEX(D14:H14,0,MATCH('RFPR cover'!$C$9,$D$6:$H$6,0)))</f>
        <v>285.11210921562338</v>
      </c>
      <c r="J14" s="54">
        <f>SUM(D14:H14)</f>
        <v>1210.236504120008</v>
      </c>
      <c r="K14" s="36"/>
    </row>
    <row r="15" spans="1:16">
      <c r="B15" s="247" t="s">
        <v>242</v>
      </c>
      <c r="C15" s="38" t="str">
        <f>Data!$C$9</f>
        <v>£m 18/19</v>
      </c>
      <c r="D15" s="627">
        <f>D14-D13</f>
        <v>74.776675474738425</v>
      </c>
      <c r="E15" s="627">
        <f t="shared" ref="E15:J15" si="2">E14-E13</f>
        <v>-15.185888176669266</v>
      </c>
      <c r="F15" s="627">
        <f t="shared" si="2"/>
        <v>-13.785641961140527</v>
      </c>
      <c r="G15" s="627">
        <f t="shared" si="2"/>
        <v>-28.017997165234135</v>
      </c>
      <c r="H15" s="627">
        <f t="shared" si="2"/>
        <v>4.9802979389895654</v>
      </c>
      <c r="I15" s="50">
        <f t="shared" si="2"/>
        <v>74.776675474738425</v>
      </c>
      <c r="J15" s="52">
        <f t="shared" si="2"/>
        <v>22.767446110684205</v>
      </c>
      <c r="K15" s="692"/>
      <c r="L15" s="692"/>
      <c r="M15" s="692"/>
      <c r="N15"/>
      <c r="O15"/>
      <c r="P15"/>
    </row>
    <row r="16" spans="1:16">
      <c r="B16" s="247"/>
      <c r="C16" s="38"/>
      <c r="D16" s="32"/>
      <c r="E16" s="32"/>
      <c r="F16" s="32"/>
      <c r="G16" s="32"/>
      <c r="H16" s="32"/>
      <c r="I16" s="32"/>
      <c r="J16" s="32"/>
      <c r="K16" s="37"/>
      <c r="L16" s="37"/>
      <c r="M16" s="37"/>
      <c r="N16"/>
      <c r="O16"/>
      <c r="P16"/>
    </row>
    <row r="17" spans="2:16">
      <c r="B17" s="66" t="s">
        <v>243</v>
      </c>
      <c r="C17" s="69" t="s">
        <v>158</v>
      </c>
      <c r="D17" s="58">
        <f>INDEX(Data!$C$55:$C$83,MATCH('RFPR cover'!$C$7,Data!$B$55:$B$83,0),0)</f>
        <v>0.51</v>
      </c>
      <c r="E17" s="58">
        <f>INDEX(Data!$C$55:$C$83,MATCH('RFPR cover'!$C$7,Data!$B$55:$B$83,0),0)</f>
        <v>0.51</v>
      </c>
      <c r="F17" s="58">
        <f>INDEX(Data!$C$55:$C$83,MATCH('RFPR cover'!$C$7,Data!$B$55:$B$83,0),0)</f>
        <v>0.51</v>
      </c>
      <c r="G17" s="58">
        <f>INDEX(Data!$C$55:$C$83,MATCH('RFPR cover'!$C$7,Data!$B$55:$B$83,0),0)</f>
        <v>0.51</v>
      </c>
      <c r="H17" s="58">
        <f>INDEX(Data!$C$55:$C$83,MATCH('RFPR cover'!$C$7,Data!$B$55:$B$83,0),0)</f>
        <v>0.51</v>
      </c>
      <c r="I17" s="35"/>
      <c r="J17" s="35"/>
      <c r="K17"/>
      <c r="L17"/>
      <c r="M17"/>
      <c r="N17"/>
      <c r="O17"/>
      <c r="P17"/>
    </row>
    <row r="18" spans="2:16">
      <c r="K18"/>
      <c r="L18"/>
      <c r="M18"/>
      <c r="N18"/>
      <c r="O18"/>
      <c r="P18"/>
    </row>
    <row r="19" spans="2:16">
      <c r="B19" s="66" t="s">
        <v>244</v>
      </c>
      <c r="C19" s="38" t="str">
        <f>Data!$C$9</f>
        <v>£m 18/19</v>
      </c>
      <c r="D19" s="627">
        <f>D15*D17</f>
        <v>38.136104492116594</v>
      </c>
      <c r="E19" s="627">
        <f t="shared" ref="E19:H19" si="3">E15*E17</f>
        <v>-7.7448029701013255</v>
      </c>
      <c r="F19" s="627">
        <f t="shared" si="3"/>
        <v>-7.030677400181669</v>
      </c>
      <c r="G19" s="627">
        <f t="shared" si="3"/>
        <v>-14.289178554269409</v>
      </c>
      <c r="H19" s="627">
        <f t="shared" si="3"/>
        <v>2.5399519488846782</v>
      </c>
      <c r="I19" s="46">
        <f>SUM(D19:INDEX(D19:H19,0,MATCH('RFPR cover'!$C$9,$D$6:$H$6,0)))</f>
        <v>38.136104492116594</v>
      </c>
      <c r="J19" s="48">
        <f>SUM(D19:H19)</f>
        <v>11.611397516448868</v>
      </c>
      <c r="K19"/>
      <c r="L19"/>
      <c r="M19"/>
      <c r="N19"/>
      <c r="O19"/>
      <c r="P19"/>
    </row>
    <row r="20" spans="2:16">
      <c r="B20" s="66" t="s">
        <v>245</v>
      </c>
      <c r="C20" s="38" t="str">
        <f>Data!$C$9</f>
        <v>£m 18/19</v>
      </c>
      <c r="D20" s="627">
        <f>D15*(1-D17)</f>
        <v>36.640570982621831</v>
      </c>
      <c r="E20" s="627">
        <f t="shared" ref="E20:H20" si="4">E15*(1-E17)</f>
        <v>-7.4410852065679407</v>
      </c>
      <c r="F20" s="627">
        <f t="shared" si="4"/>
        <v>-6.7549645609588582</v>
      </c>
      <c r="G20" s="627">
        <f t="shared" si="4"/>
        <v>-13.728818610964726</v>
      </c>
      <c r="H20" s="627">
        <f t="shared" si="4"/>
        <v>2.4403459901048872</v>
      </c>
      <c r="I20" s="43">
        <f>SUM(D20:INDEX(D20:H20,0,MATCH('RFPR cover'!$C$9,$D$6:$H$6,0)))</f>
        <v>36.640570982621831</v>
      </c>
      <c r="J20" s="45">
        <f>SUM(D20:H20)</f>
        <v>11.156048594235195</v>
      </c>
      <c r="L20"/>
      <c r="M20"/>
      <c r="N20"/>
      <c r="O20"/>
      <c r="P20"/>
    </row>
    <row r="21" spans="2:16">
      <c r="C21" s="66"/>
      <c r="D21" s="66"/>
      <c r="E21" s="66"/>
      <c r="F21" s="66"/>
      <c r="G21" s="66"/>
      <c r="H21" s="66"/>
      <c r="I21" s="66"/>
      <c r="J21" s="66"/>
      <c r="L21"/>
      <c r="M21"/>
      <c r="N21"/>
      <c r="O21"/>
      <c r="P21"/>
    </row>
    <row r="22" spans="2:16">
      <c r="B22" s="155" t="s">
        <v>246</v>
      </c>
      <c r="L22"/>
      <c r="M22"/>
    </row>
    <row r="23" spans="2:16">
      <c r="B23" s="379" t="s">
        <v>557</v>
      </c>
      <c r="C23" s="38" t="str">
        <f>Data!$C$9</f>
        <v>£m 18/19</v>
      </c>
      <c r="D23" s="207">
        <v>-74.776675474738425</v>
      </c>
      <c r="E23" s="207">
        <v>15.185888176669266</v>
      </c>
      <c r="F23" s="207">
        <v>13.785641961140527</v>
      </c>
      <c r="G23" s="207">
        <v>28.017997165234135</v>
      </c>
      <c r="H23" s="207">
        <v>-4.9802979389895654</v>
      </c>
      <c r="I23" s="43">
        <f>SUM(D23:INDEX(D23:H23,0,MATCH('RFPR cover'!$C$9,$D$6:$H$6,0)))</f>
        <v>-74.776675474738425</v>
      </c>
      <c r="J23" s="45">
        <f>SUM(D23:H23)</f>
        <v>-22.767446110684062</v>
      </c>
      <c r="L23"/>
      <c r="M23"/>
      <c r="N23"/>
      <c r="O23"/>
      <c r="P23"/>
    </row>
    <row r="24" spans="2:16">
      <c r="B24" s="379" t="s">
        <v>558</v>
      </c>
      <c r="C24" s="38" t="str">
        <f>Data!$C$9</f>
        <v>£m 18/19</v>
      </c>
      <c r="D24" s="207">
        <v>0</v>
      </c>
      <c r="E24" s="207">
        <v>0</v>
      </c>
      <c r="F24" s="207">
        <v>0</v>
      </c>
      <c r="G24" s="207">
        <v>0</v>
      </c>
      <c r="H24" s="207">
        <v>0</v>
      </c>
      <c r="I24" s="43">
        <f>SUM(D24:INDEX(D24:H24,0,MATCH('RFPR cover'!$C$9,$D$6:$H$6,0)))</f>
        <v>0</v>
      </c>
      <c r="J24" s="45">
        <f t="shared" ref="J24" si="5">SUM(D24:H24)</f>
        <v>0</v>
      </c>
      <c r="L24"/>
      <c r="M24"/>
      <c r="N24"/>
      <c r="O24"/>
      <c r="P24"/>
    </row>
    <row r="25" spans="2:16">
      <c r="B25" s="155" t="s">
        <v>247</v>
      </c>
      <c r="C25" s="38" t="str">
        <f>Data!$C$9</f>
        <v>£m 18/19</v>
      </c>
      <c r="D25" s="627">
        <f>SUM(D23:D24)</f>
        <v>-74.776675474738425</v>
      </c>
      <c r="E25" s="627">
        <f t="shared" ref="E25:H25" si="6">SUM(E23:E24)</f>
        <v>15.185888176669266</v>
      </c>
      <c r="F25" s="627">
        <f t="shared" si="6"/>
        <v>13.785641961140527</v>
      </c>
      <c r="G25" s="627">
        <f t="shared" si="6"/>
        <v>28.017997165234135</v>
      </c>
      <c r="H25" s="627">
        <f t="shared" si="6"/>
        <v>-4.9802979389895654</v>
      </c>
      <c r="I25" s="43">
        <f>SUM(D25:INDEX(D25:H25,0,MATCH('RFPR cover'!$C$9,$D$6:$H$6,0)))</f>
        <v>-74.776675474738425</v>
      </c>
      <c r="J25" s="45">
        <f t="shared" ref="J25" si="7">SUM(D25:H25)</f>
        <v>-22.767446110684062</v>
      </c>
      <c r="L25"/>
      <c r="M25"/>
      <c r="N25"/>
      <c r="O25"/>
      <c r="P25"/>
    </row>
    <row r="26" spans="2:16">
      <c r="B26" s="155"/>
      <c r="L26"/>
      <c r="M26"/>
      <c r="N26"/>
      <c r="O26"/>
      <c r="P26"/>
    </row>
    <row r="27" spans="2:16">
      <c r="B27" s="155" t="s">
        <v>248</v>
      </c>
      <c r="L27"/>
      <c r="M27"/>
      <c r="N27"/>
      <c r="O27"/>
      <c r="P27"/>
    </row>
    <row r="28" spans="2:16">
      <c r="B28" s="379" t="s">
        <v>559</v>
      </c>
      <c r="C28" s="38" t="str">
        <f>Data!$C$9</f>
        <v>£m 18/19</v>
      </c>
      <c r="D28" s="207">
        <v>0</v>
      </c>
      <c r="E28" s="207">
        <v>0</v>
      </c>
      <c r="F28" s="207">
        <v>0</v>
      </c>
      <c r="G28" s="207">
        <v>0</v>
      </c>
      <c r="H28" s="207">
        <v>0</v>
      </c>
      <c r="I28" s="43">
        <f>SUM(D28:INDEX(D28:H28,0,MATCH('RFPR cover'!$C$9,$D$6:$H$6,0)))</f>
        <v>0</v>
      </c>
      <c r="J28" s="45">
        <f>SUM(D28:H28)</f>
        <v>0</v>
      </c>
      <c r="L28"/>
      <c r="M28"/>
      <c r="N28"/>
      <c r="O28"/>
      <c r="P28"/>
    </row>
    <row r="29" spans="2:16">
      <c r="B29" s="379" t="s">
        <v>558</v>
      </c>
      <c r="C29" s="38" t="str">
        <f>Data!$C$9</f>
        <v>£m 18/19</v>
      </c>
      <c r="D29" s="207">
        <v>0</v>
      </c>
      <c r="E29" s="207">
        <v>0</v>
      </c>
      <c r="F29" s="207">
        <v>0</v>
      </c>
      <c r="G29" s="207">
        <v>0</v>
      </c>
      <c r="H29" s="207">
        <v>0</v>
      </c>
      <c r="I29" s="43">
        <f>SUM(D29:INDEX(D29:H29,0,MATCH('RFPR cover'!$C$9,$D$6:$H$6,0)))</f>
        <v>0</v>
      </c>
      <c r="J29" s="45">
        <f t="shared" ref="J29:J30" si="8">SUM(D29:H29)</f>
        <v>0</v>
      </c>
      <c r="L29"/>
      <c r="M29"/>
      <c r="N29"/>
      <c r="O29"/>
      <c r="P29"/>
    </row>
    <row r="30" spans="2:16">
      <c r="B30" s="155" t="s">
        <v>247</v>
      </c>
      <c r="C30" s="38" t="str">
        <f>Data!$C$9</f>
        <v>£m 18/19</v>
      </c>
      <c r="D30" s="627">
        <f>SUM(D28:D29)</f>
        <v>0</v>
      </c>
      <c r="E30" s="627">
        <f t="shared" ref="E30:H30" si="9">SUM(E28:E29)</f>
        <v>0</v>
      </c>
      <c r="F30" s="627">
        <f t="shared" si="9"/>
        <v>0</v>
      </c>
      <c r="G30" s="627">
        <f t="shared" si="9"/>
        <v>0</v>
      </c>
      <c r="H30" s="627">
        <f t="shared" si="9"/>
        <v>0</v>
      </c>
      <c r="I30" s="43">
        <f>SUM(D30:INDEX(D30:H30,0,MATCH('RFPR cover'!$C$9,$D$6:$H$6,0)))</f>
        <v>0</v>
      </c>
      <c r="J30" s="45">
        <f t="shared" si="8"/>
        <v>0</v>
      </c>
      <c r="L30"/>
      <c r="M30"/>
      <c r="N30"/>
      <c r="O30"/>
      <c r="P30"/>
    </row>
    <row r="31" spans="2:16">
      <c r="B31" s="155"/>
      <c r="L31"/>
      <c r="M31"/>
      <c r="N31"/>
      <c r="O31"/>
      <c r="P31"/>
    </row>
    <row r="32" spans="2:16">
      <c r="B32" s="66" t="s">
        <v>249</v>
      </c>
      <c r="C32" s="38"/>
      <c r="D32" s="627">
        <f>D25*D17</f>
        <v>-38.136104492116594</v>
      </c>
      <c r="E32" s="627">
        <f>E25*E17</f>
        <v>7.7448029701013255</v>
      </c>
      <c r="F32" s="627">
        <f t="shared" ref="F32:H32" si="10">F25*F17</f>
        <v>7.030677400181669</v>
      </c>
      <c r="G32" s="627">
        <f t="shared" si="10"/>
        <v>14.289178554269409</v>
      </c>
      <c r="H32" s="627">
        <f t="shared" si="10"/>
        <v>-2.5399519488846782</v>
      </c>
      <c r="I32" s="46">
        <f>SUM(D32:INDEX(D32:H32,0,MATCH('RFPR cover'!$C$9,$D$6:$H$6,0)))</f>
        <v>-38.136104492116594</v>
      </c>
      <c r="J32" s="48">
        <f>SUM(D32:H32)</f>
        <v>-11.611397516448868</v>
      </c>
      <c r="L32"/>
      <c r="M32"/>
      <c r="N32"/>
      <c r="O32"/>
      <c r="P32"/>
    </row>
    <row r="33" spans="2:16">
      <c r="B33" s="66" t="s">
        <v>250</v>
      </c>
      <c r="C33" s="38"/>
      <c r="D33" s="627">
        <f>D25*(1-D17)+D30</f>
        <v>-36.640570982621831</v>
      </c>
      <c r="E33" s="627">
        <f t="shared" ref="E33:H33" si="11">E25*(1-E17)+E30</f>
        <v>7.4410852065679407</v>
      </c>
      <c r="F33" s="627">
        <f t="shared" si="11"/>
        <v>6.7549645609588582</v>
      </c>
      <c r="G33" s="627">
        <f t="shared" si="11"/>
        <v>13.728818610964726</v>
      </c>
      <c r="H33" s="627">
        <f t="shared" si="11"/>
        <v>-2.4403459901048872</v>
      </c>
      <c r="I33" s="46">
        <f>SUM(D33:INDEX(D33:H33,0,MATCH('RFPR cover'!$C$9,$D$6:$H$6,0)))</f>
        <v>-36.640570982621831</v>
      </c>
      <c r="J33" s="45">
        <f>SUM(D33:H33)</f>
        <v>-11.156048594235195</v>
      </c>
      <c r="L33"/>
      <c r="M33"/>
      <c r="N33"/>
      <c r="O33"/>
      <c r="P33"/>
    </row>
    <row r="34" spans="2:16">
      <c r="B34" s="155"/>
      <c r="L34"/>
      <c r="M34"/>
      <c r="N34"/>
      <c r="O34"/>
      <c r="P34"/>
    </row>
    <row r="35" spans="2:16">
      <c r="B35" s="155" t="s">
        <v>251</v>
      </c>
      <c r="L35"/>
      <c r="M35"/>
      <c r="N35"/>
      <c r="O35"/>
      <c r="P35"/>
    </row>
    <row r="36" spans="2:16">
      <c r="B36" s="66" t="s">
        <v>244</v>
      </c>
      <c r="C36" s="38" t="str">
        <f>Data!$C$9</f>
        <v>£m 18/19</v>
      </c>
      <c r="D36" s="627">
        <f>D19+D32</f>
        <v>0</v>
      </c>
      <c r="E36" s="627">
        <f t="shared" ref="E36:H36" si="12">E19+E32</f>
        <v>0</v>
      </c>
      <c r="F36" s="627">
        <f t="shared" si="12"/>
        <v>0</v>
      </c>
      <c r="G36" s="627">
        <f t="shared" si="12"/>
        <v>0</v>
      </c>
      <c r="H36" s="627">
        <f t="shared" si="12"/>
        <v>0</v>
      </c>
      <c r="I36" s="46">
        <f>SUM(D36:INDEX(D36:H36,0,MATCH('RFPR cover'!$C$9,$D$6:$H$6,0)))</f>
        <v>0</v>
      </c>
      <c r="J36" s="48">
        <f>SUM(D36:H36)</f>
        <v>0</v>
      </c>
      <c r="L36"/>
      <c r="M36"/>
      <c r="N36"/>
      <c r="O36"/>
      <c r="P36"/>
    </row>
    <row r="37" spans="2:16">
      <c r="B37" s="66" t="s">
        <v>245</v>
      </c>
      <c r="C37" s="38" t="str">
        <f>Data!$C$9</f>
        <v>£m 18/19</v>
      </c>
      <c r="D37" s="627">
        <f>D20+D33</f>
        <v>0</v>
      </c>
      <c r="E37" s="627">
        <f t="shared" ref="E37:H37" si="13">E20+E33</f>
        <v>0</v>
      </c>
      <c r="F37" s="627">
        <f t="shared" si="13"/>
        <v>0</v>
      </c>
      <c r="G37" s="627">
        <f t="shared" si="13"/>
        <v>0</v>
      </c>
      <c r="H37" s="627">
        <f t="shared" si="13"/>
        <v>0</v>
      </c>
      <c r="I37" s="46">
        <f>SUM(D37:INDEX(D37:H37,0,MATCH('RFPR cover'!$C$9,$D$6:$H$6,0)))</f>
        <v>0</v>
      </c>
      <c r="J37" s="45">
        <f t="shared" ref="J37" si="14">SUM(D37:H37)</f>
        <v>0</v>
      </c>
      <c r="L37"/>
      <c r="M37"/>
      <c r="N37"/>
      <c r="O37"/>
      <c r="P37"/>
    </row>
    <row r="38" spans="2:16">
      <c r="B38" s="155" t="s">
        <v>252</v>
      </c>
      <c r="C38" s="77" t="str">
        <f>Data!$C$9</f>
        <v>£m 18/19</v>
      </c>
      <c r="D38" s="627">
        <f>SUM(D36:D37)</f>
        <v>0</v>
      </c>
      <c r="E38" s="627">
        <f t="shared" ref="E38:H38" si="15">SUM(E36:E37)</f>
        <v>0</v>
      </c>
      <c r="F38" s="627">
        <f t="shared" si="15"/>
        <v>0</v>
      </c>
      <c r="G38" s="627">
        <f t="shared" si="15"/>
        <v>0</v>
      </c>
      <c r="H38" s="627">
        <f t="shared" si="15"/>
        <v>0</v>
      </c>
      <c r="I38" s="43">
        <f>SUM(D38:INDEX(D38:H38,0,MATCH('RFPR cover'!$C$9,$D$6:$H$6,0)))</f>
        <v>0</v>
      </c>
      <c r="J38" s="45">
        <f t="shared" ref="J38" si="16">SUM(D38:H38)</f>
        <v>0</v>
      </c>
      <c r="L38"/>
      <c r="M38"/>
      <c r="N38"/>
      <c r="O38"/>
      <c r="P38"/>
    </row>
    <row r="39" spans="2:16">
      <c r="B39" s="155"/>
      <c r="L39"/>
      <c r="M39"/>
      <c r="N39"/>
      <c r="O39"/>
      <c r="P39"/>
    </row>
    <row r="40" spans="2:16">
      <c r="B40" s="372" t="s">
        <v>253</v>
      </c>
      <c r="C40" s="73"/>
      <c r="D40" s="41"/>
      <c r="E40" s="41"/>
      <c r="F40" s="41"/>
      <c r="G40" s="41"/>
      <c r="H40" s="41"/>
      <c r="I40" s="41"/>
      <c r="J40" s="41"/>
    </row>
    <row r="41" spans="2:16">
      <c r="D41" s="1"/>
      <c r="E41" s="1"/>
      <c r="F41" s="1"/>
      <c r="G41" s="1"/>
      <c r="H41" s="1"/>
      <c r="I41" s="1"/>
      <c r="J41" s="1"/>
    </row>
    <row r="42" spans="2:16">
      <c r="B42" s="88" t="s">
        <v>240</v>
      </c>
      <c r="C42" s="38" t="str">
        <f>Data!$C$9</f>
        <v>£m 18/19</v>
      </c>
      <c r="D42" s="428">
        <v>10.839062747350328</v>
      </c>
      <c r="E42" s="428">
        <v>67.053045115670869</v>
      </c>
      <c r="F42" s="428">
        <v>159.19151837383944</v>
      </c>
      <c r="G42" s="428">
        <v>234.93813653051598</v>
      </c>
      <c r="H42" s="428">
        <v>343.8713013546805</v>
      </c>
      <c r="I42" s="219">
        <f>SUM(D42:INDEX(D42:H42,0,MATCH('RFPR cover'!$C$9,$D$6:$H$6,0)))</f>
        <v>10.839062747350328</v>
      </c>
      <c r="J42" s="220">
        <f>SUM(D42:H42)</f>
        <v>815.89306412205713</v>
      </c>
      <c r="K42" s="36"/>
    </row>
    <row r="43" spans="2:16" ht="15" customHeight="1">
      <c r="B43" s="67" t="s">
        <v>254</v>
      </c>
      <c r="C43" s="38" t="str">
        <f>Data!$C$9</f>
        <v>£m 18/19</v>
      </c>
      <c r="D43" s="428">
        <v>-1.8538804525587627</v>
      </c>
      <c r="E43" s="428">
        <v>73.346867581172589</v>
      </c>
      <c r="F43" s="428">
        <v>155.03472929239283</v>
      </c>
      <c r="G43" s="428">
        <v>243.91345773793799</v>
      </c>
      <c r="H43" s="428">
        <v>333.30959827824637</v>
      </c>
      <c r="I43" s="221">
        <f>SUM(D43:INDEX(D43:H43,0,MATCH('RFPR cover'!$C$9,$D$6:$H$6,0)))</f>
        <v>-1.8538804525587627</v>
      </c>
      <c r="J43" s="222">
        <f>SUM(D43:H43)</f>
        <v>803.75077243719102</v>
      </c>
      <c r="K43" s="36"/>
    </row>
    <row r="44" spans="2:16">
      <c r="B44" s="247" t="s">
        <v>242</v>
      </c>
      <c r="C44" s="38" t="str">
        <f>Data!$C$9</f>
        <v>£m 18/19</v>
      </c>
      <c r="D44" s="627">
        <f>D43-D42</f>
        <v>-12.69294319990909</v>
      </c>
      <c r="E44" s="627">
        <f t="shared" ref="E44:J44" si="17">E43-E42</f>
        <v>6.2938224655017194</v>
      </c>
      <c r="F44" s="627">
        <f t="shared" si="17"/>
        <v>-4.1567890814466182</v>
      </c>
      <c r="G44" s="627">
        <f t="shared" si="17"/>
        <v>8.975321207422013</v>
      </c>
      <c r="H44" s="627">
        <f t="shared" si="17"/>
        <v>-10.561703076434128</v>
      </c>
      <c r="I44" s="407">
        <f t="shared" si="17"/>
        <v>-12.69294319990909</v>
      </c>
      <c r="J44" s="579">
        <f t="shared" si="17"/>
        <v>-12.142291684866109</v>
      </c>
      <c r="K44" s="90"/>
      <c r="L44" s="90"/>
      <c r="M44" s="90"/>
      <c r="N44"/>
      <c r="O44"/>
      <c r="P44"/>
    </row>
    <row r="45" spans="2:16">
      <c r="B45" s="247"/>
      <c r="C45" s="38"/>
      <c r="D45" s="32"/>
      <c r="E45" s="32"/>
      <c r="F45" s="32"/>
      <c r="G45" s="32"/>
      <c r="H45" s="32"/>
      <c r="I45" s="32"/>
      <c r="J45" s="32"/>
      <c r="K45" s="37"/>
      <c r="L45" s="37"/>
      <c r="M45" s="37"/>
      <c r="N45"/>
      <c r="O45"/>
      <c r="P45"/>
    </row>
    <row r="46" spans="2:16">
      <c r="B46" s="66" t="s">
        <v>243</v>
      </c>
      <c r="C46" s="69" t="s">
        <v>158</v>
      </c>
      <c r="D46" s="57">
        <f>INDEX(Data!$C$55:$C$83,MATCH('RFPR cover'!$C$7,Data!$B$55:$B$83,0),0)</f>
        <v>0.51</v>
      </c>
      <c r="E46" s="57">
        <f>INDEX(Data!$C$55:$C$83,MATCH('RFPR cover'!$C$7,Data!$B$55:$B$83,0),0)</f>
        <v>0.51</v>
      </c>
      <c r="F46" s="57">
        <f>INDEX(Data!$C$55:$C$83,MATCH('RFPR cover'!$C$7,Data!$B$55:$B$83,0),0)</f>
        <v>0.51</v>
      </c>
      <c r="G46" s="57">
        <f>INDEX(Data!$C$55:$C$83,MATCH('RFPR cover'!$C$7,Data!$B$55:$B$83,0),0)</f>
        <v>0.51</v>
      </c>
      <c r="H46" s="57">
        <f>INDEX(Data!$C$55:$C$83,MATCH('RFPR cover'!$C$7,Data!$B$55:$B$83,0),0)</f>
        <v>0.51</v>
      </c>
      <c r="I46" s="35"/>
      <c r="J46" s="35"/>
      <c r="K46"/>
      <c r="L46"/>
      <c r="M46"/>
      <c r="N46"/>
      <c r="O46"/>
      <c r="P46"/>
    </row>
    <row r="47" spans="2:16">
      <c r="K47"/>
      <c r="L47"/>
      <c r="M47"/>
      <c r="N47"/>
      <c r="O47"/>
      <c r="P47"/>
    </row>
    <row r="48" spans="2:16">
      <c r="B48" s="66" t="s">
        <v>244</v>
      </c>
      <c r="C48" s="38" t="str">
        <f>Data!$C$9</f>
        <v>£m 18/19</v>
      </c>
      <c r="D48" s="627">
        <f>D44*D46</f>
        <v>-6.4734010319536361</v>
      </c>
      <c r="E48" s="627">
        <f t="shared" ref="E48:H48" si="18">E44*E46</f>
        <v>3.2098494574058769</v>
      </c>
      <c r="F48" s="627">
        <f t="shared" si="18"/>
        <v>-2.1199624315377754</v>
      </c>
      <c r="G48" s="627">
        <f t="shared" si="18"/>
        <v>4.5774138157852269</v>
      </c>
      <c r="H48" s="627">
        <f t="shared" si="18"/>
        <v>-5.3864685689814058</v>
      </c>
      <c r="I48" s="142">
        <f>SUM(D48:INDEX(D48:H48,0,MATCH('RFPR cover'!$C$9,$D$6:$H$6,0)))</f>
        <v>-6.4734010319536361</v>
      </c>
      <c r="J48" s="198">
        <f>SUM(D48:H48)</f>
        <v>-6.1925687592817136</v>
      </c>
      <c r="K48"/>
      <c r="L48"/>
      <c r="M48"/>
      <c r="N48"/>
      <c r="O48"/>
      <c r="P48"/>
    </row>
    <row r="49" spans="2:16">
      <c r="B49" s="66" t="s">
        <v>245</v>
      </c>
      <c r="C49" s="38" t="str">
        <f>Data!$C$9</f>
        <v>£m 18/19</v>
      </c>
      <c r="D49" s="627">
        <f>D44*(1-D46)</f>
        <v>-6.2195421679554537</v>
      </c>
      <c r="E49" s="627">
        <f t="shared" ref="E49:H49" si="19">E44*(1-E46)</f>
        <v>3.0839730080958425</v>
      </c>
      <c r="F49" s="627">
        <f t="shared" si="19"/>
        <v>-2.0368266499088428</v>
      </c>
      <c r="G49" s="627">
        <f t="shared" si="19"/>
        <v>4.3979073916367861</v>
      </c>
      <c r="H49" s="627">
        <f t="shared" si="19"/>
        <v>-5.1752345074527222</v>
      </c>
      <c r="I49" s="201">
        <f>SUM(D49:INDEX(D49:H49,0,MATCH('RFPR cover'!$C$9,$D$6:$H$6,0)))</f>
        <v>-6.2195421679554537</v>
      </c>
      <c r="J49" s="202">
        <f>SUM(D49:H49)</f>
        <v>-5.94972292558439</v>
      </c>
      <c r="K49"/>
      <c r="L49"/>
      <c r="M49"/>
      <c r="N49"/>
      <c r="O49"/>
      <c r="P49"/>
    </row>
    <row r="50" spans="2:16">
      <c r="K50"/>
      <c r="L50"/>
      <c r="M50"/>
      <c r="N50"/>
      <c r="O50"/>
      <c r="P50"/>
    </row>
    <row r="51" spans="2:16">
      <c r="B51" s="155" t="s">
        <v>246</v>
      </c>
      <c r="K51"/>
      <c r="L51"/>
      <c r="M51"/>
      <c r="N51"/>
      <c r="O51"/>
      <c r="P51"/>
    </row>
    <row r="52" spans="2:16">
      <c r="B52" s="379" t="s">
        <v>557</v>
      </c>
      <c r="C52" s="38" t="str">
        <f>Data!$C$9</f>
        <v>£m 18/19</v>
      </c>
      <c r="D52" s="207">
        <v>12.69294319990909</v>
      </c>
      <c r="E52" s="207">
        <v>-6.2938224655017194</v>
      </c>
      <c r="F52" s="207">
        <v>4.1567890814466182</v>
      </c>
      <c r="G52" s="207">
        <v>-8.975321207422013</v>
      </c>
      <c r="H52" s="207">
        <v>10.561703076434128</v>
      </c>
      <c r="I52" s="43">
        <f>SUM(D52:INDEX(D52:H52,0,MATCH('RFPR cover'!$C$9,$D$6:$H$6,0)))</f>
        <v>12.69294319990909</v>
      </c>
      <c r="J52" s="45">
        <f>SUM(D52:H52)</f>
        <v>12.142291684866104</v>
      </c>
      <c r="K52"/>
      <c r="L52"/>
      <c r="M52"/>
      <c r="N52"/>
      <c r="O52"/>
      <c r="P52"/>
    </row>
    <row r="53" spans="2:16">
      <c r="B53" s="379" t="s">
        <v>558</v>
      </c>
      <c r="C53" s="38" t="str">
        <f>Data!$C$9</f>
        <v>£m 18/19</v>
      </c>
      <c r="D53" s="207">
        <v>0</v>
      </c>
      <c r="E53" s="207">
        <v>0</v>
      </c>
      <c r="F53" s="207">
        <v>0</v>
      </c>
      <c r="G53" s="207">
        <v>0</v>
      </c>
      <c r="H53" s="207">
        <v>0</v>
      </c>
      <c r="I53" s="43">
        <f>SUM(D53:INDEX(D53:H53,0,MATCH('RFPR cover'!$C$9,$D$6:$H$6,0)))</f>
        <v>0</v>
      </c>
      <c r="J53" s="45">
        <f t="shared" ref="J53:J54" si="20">SUM(D53:H53)</f>
        <v>0</v>
      </c>
      <c r="K53"/>
      <c r="L53"/>
      <c r="M53"/>
      <c r="N53"/>
      <c r="O53"/>
      <c r="P53"/>
    </row>
    <row r="54" spans="2:16">
      <c r="B54" s="155" t="s">
        <v>247</v>
      </c>
      <c r="C54" s="38" t="str">
        <f>Data!$C$9</f>
        <v>£m 18/19</v>
      </c>
      <c r="D54" s="627">
        <f>SUM(D52:D53)</f>
        <v>12.69294319990909</v>
      </c>
      <c r="E54" s="627">
        <f t="shared" ref="E54" si="21">SUM(E52:E53)</f>
        <v>-6.2938224655017194</v>
      </c>
      <c r="F54" s="627">
        <f t="shared" ref="F54" si="22">SUM(F52:F53)</f>
        <v>4.1567890814466182</v>
      </c>
      <c r="G54" s="627">
        <f t="shared" ref="G54" si="23">SUM(G52:G53)</f>
        <v>-8.975321207422013</v>
      </c>
      <c r="H54" s="627">
        <f t="shared" ref="H54" si="24">SUM(H52:H53)</f>
        <v>10.561703076434128</v>
      </c>
      <c r="I54" s="43">
        <f>SUM(D54:INDEX(D54:H54,0,MATCH('RFPR cover'!$C$9,$D$6:$H$6,0)))</f>
        <v>12.69294319990909</v>
      </c>
      <c r="J54" s="45">
        <f t="shared" si="20"/>
        <v>12.142291684866104</v>
      </c>
      <c r="K54" s="155"/>
      <c r="L54" s="155"/>
      <c r="M54" s="155"/>
      <c r="N54" s="155"/>
      <c r="O54"/>
      <c r="P54"/>
    </row>
    <row r="55" spans="2:16">
      <c r="B55" s="155"/>
      <c r="C55" s="155"/>
      <c r="D55" s="155"/>
      <c r="E55" s="155"/>
      <c r="F55" s="155"/>
      <c r="G55" s="155"/>
      <c r="H55" s="155"/>
      <c r="I55" s="155"/>
      <c r="J55" s="155"/>
      <c r="K55" s="155"/>
      <c r="L55" s="155"/>
      <c r="M55" s="155"/>
      <c r="N55" s="155"/>
      <c r="O55"/>
      <c r="P55"/>
    </row>
    <row r="56" spans="2:16">
      <c r="B56" s="155" t="s">
        <v>248</v>
      </c>
      <c r="K56" s="155"/>
      <c r="L56" s="155"/>
      <c r="M56" s="155"/>
      <c r="N56" s="155"/>
      <c r="O56"/>
      <c r="P56"/>
    </row>
    <row r="57" spans="2:16">
      <c r="B57" s="379" t="s">
        <v>559</v>
      </c>
      <c r="C57" s="38" t="str">
        <f>Data!$C$9</f>
        <v>£m 18/19</v>
      </c>
      <c r="D57" s="207">
        <v>0</v>
      </c>
      <c r="E57" s="207">
        <v>0</v>
      </c>
      <c r="F57" s="207">
        <v>0</v>
      </c>
      <c r="G57" s="207">
        <v>0</v>
      </c>
      <c r="H57" s="207">
        <v>0</v>
      </c>
      <c r="I57" s="43">
        <f>SUM(D57:INDEX(D57:H57,0,MATCH('RFPR cover'!$C$9,$D$6:$H$6,0)))</f>
        <v>0</v>
      </c>
      <c r="J57" s="45">
        <f>SUM(D57:H57)</f>
        <v>0</v>
      </c>
      <c r="K57" s="155"/>
      <c r="L57" s="155"/>
      <c r="M57" s="155"/>
      <c r="N57" s="155"/>
      <c r="O57"/>
      <c r="P57"/>
    </row>
    <row r="58" spans="2:16">
      <c r="B58" s="379" t="s">
        <v>558</v>
      </c>
      <c r="C58" s="38" t="str">
        <f>Data!$C$9</f>
        <v>£m 18/19</v>
      </c>
      <c r="D58" s="207">
        <v>0</v>
      </c>
      <c r="E58" s="207">
        <v>0</v>
      </c>
      <c r="F58" s="207">
        <v>0</v>
      </c>
      <c r="G58" s="207">
        <v>0</v>
      </c>
      <c r="H58" s="207">
        <v>0</v>
      </c>
      <c r="I58" s="43">
        <f>SUM(D58:INDEX(D58:H58,0,MATCH('RFPR cover'!$C$9,$D$6:$H$6,0)))</f>
        <v>0</v>
      </c>
      <c r="J58" s="45">
        <f t="shared" ref="J58:J59" si="25">SUM(D58:H58)</f>
        <v>0</v>
      </c>
      <c r="K58" s="155"/>
      <c r="L58" s="155"/>
      <c r="M58" s="155"/>
      <c r="N58" s="155"/>
      <c r="O58"/>
      <c r="P58"/>
    </row>
    <row r="59" spans="2:16">
      <c r="B59" s="155" t="s">
        <v>247</v>
      </c>
      <c r="C59" s="38" t="str">
        <f>Data!$C$9</f>
        <v>£m 18/19</v>
      </c>
      <c r="D59" s="627">
        <f>SUM(D57:D58)</f>
        <v>0</v>
      </c>
      <c r="E59" s="627">
        <f t="shared" ref="E59:H59" si="26">SUM(E57:E58)</f>
        <v>0</v>
      </c>
      <c r="F59" s="627">
        <f t="shared" si="26"/>
        <v>0</v>
      </c>
      <c r="G59" s="627">
        <f t="shared" si="26"/>
        <v>0</v>
      </c>
      <c r="H59" s="627">
        <f t="shared" si="26"/>
        <v>0</v>
      </c>
      <c r="I59" s="43">
        <f>SUM(D59:INDEX(D59:H59,0,MATCH('RFPR cover'!$C$9,$D$6:$H$6,0)))</f>
        <v>0</v>
      </c>
      <c r="J59" s="45">
        <f t="shared" si="25"/>
        <v>0</v>
      </c>
      <c r="K59" s="155"/>
      <c r="L59" s="155"/>
      <c r="M59" s="155"/>
      <c r="N59" s="155"/>
      <c r="O59"/>
      <c r="P59"/>
    </row>
    <row r="60" spans="2:16">
      <c r="B60" s="155"/>
      <c r="C60" s="155"/>
      <c r="D60" s="155"/>
      <c r="E60" s="155"/>
      <c r="F60" s="155"/>
      <c r="G60" s="155"/>
      <c r="H60" s="155"/>
      <c r="I60" s="155"/>
      <c r="J60" s="155"/>
      <c r="K60" s="155"/>
      <c r="L60" s="155"/>
      <c r="M60" s="155"/>
      <c r="N60" s="155"/>
      <c r="O60"/>
      <c r="P60"/>
    </row>
    <row r="61" spans="2:16">
      <c r="B61" s="66" t="s">
        <v>249</v>
      </c>
      <c r="C61" s="38"/>
      <c r="D61" s="627">
        <f>D54*D46</f>
        <v>6.4734010319536361</v>
      </c>
      <c r="E61" s="627">
        <f t="shared" ref="E61:H61" si="27">E54*E46</f>
        <v>-3.2098494574058769</v>
      </c>
      <c r="F61" s="627">
        <f t="shared" si="27"/>
        <v>2.1199624315377754</v>
      </c>
      <c r="G61" s="627">
        <f t="shared" si="27"/>
        <v>-4.5774138157852269</v>
      </c>
      <c r="H61" s="627">
        <f t="shared" si="27"/>
        <v>5.3864685689814058</v>
      </c>
      <c r="I61" s="46">
        <f>SUM(D61:INDEX(D61:H61,0,MATCH('RFPR cover'!$C$9,$D$6:$H$6,0)))</f>
        <v>6.4734010319536361</v>
      </c>
      <c r="J61" s="48">
        <f>SUM(D61:H61)</f>
        <v>6.1925687592817136</v>
      </c>
      <c r="K61" s="155"/>
      <c r="L61" s="155"/>
      <c r="M61" s="155"/>
      <c r="N61" s="155"/>
      <c r="O61"/>
      <c r="P61"/>
    </row>
    <row r="62" spans="2:16">
      <c r="B62" s="66" t="s">
        <v>250</v>
      </c>
      <c r="C62" s="38"/>
      <c r="D62" s="627">
        <f>D54*(1-D46)+D59</f>
        <v>6.2195421679554537</v>
      </c>
      <c r="E62" s="627">
        <f t="shared" ref="E62:H62" si="28">E54*(1-E46)+E59</f>
        <v>-3.0839730080958425</v>
      </c>
      <c r="F62" s="627">
        <f t="shared" si="28"/>
        <v>2.0368266499088428</v>
      </c>
      <c r="G62" s="627">
        <f t="shared" si="28"/>
        <v>-4.3979073916367861</v>
      </c>
      <c r="H62" s="627">
        <f t="shared" si="28"/>
        <v>5.1752345074527222</v>
      </c>
      <c r="I62" s="46">
        <f>SUM(D62:INDEX(D62:H62,0,MATCH('RFPR cover'!$C$9,$D$6:$H$6,0)))</f>
        <v>6.2195421679554537</v>
      </c>
      <c r="J62" s="45">
        <f>SUM(D62:H62)</f>
        <v>5.94972292558439</v>
      </c>
      <c r="K62" s="155"/>
      <c r="L62" s="155"/>
      <c r="M62" s="155"/>
      <c r="N62" s="155"/>
      <c r="O62"/>
      <c r="P62"/>
    </row>
    <row r="63" spans="2:16">
      <c r="B63" s="155"/>
      <c r="C63" s="155"/>
      <c r="D63" s="155"/>
      <c r="E63" s="155"/>
      <c r="F63" s="155"/>
      <c r="G63" s="155"/>
      <c r="H63" s="155"/>
      <c r="I63" s="155"/>
      <c r="J63" s="155"/>
      <c r="K63" s="155"/>
      <c r="L63" s="155"/>
      <c r="M63" s="155"/>
      <c r="N63" s="155"/>
      <c r="O63"/>
      <c r="P63"/>
    </row>
    <row r="64" spans="2:16">
      <c r="B64" s="155" t="s">
        <v>251</v>
      </c>
      <c r="C64" s="155"/>
      <c r="D64" s="155"/>
      <c r="E64" s="155"/>
      <c r="F64" s="155"/>
      <c r="G64" s="155"/>
      <c r="H64" s="155"/>
      <c r="I64" s="155"/>
      <c r="J64" s="155"/>
      <c r="K64" s="155"/>
      <c r="L64" s="155"/>
      <c r="M64" s="155"/>
      <c r="N64" s="155"/>
      <c r="O64"/>
      <c r="P64"/>
    </row>
    <row r="65" spans="2:17">
      <c r="B65" s="66" t="s">
        <v>244</v>
      </c>
      <c r="C65" s="38" t="str">
        <f>Data!$C$9</f>
        <v>£m 18/19</v>
      </c>
      <c r="D65" s="627">
        <f>D61+D48</f>
        <v>0</v>
      </c>
      <c r="E65" s="627">
        <f t="shared" ref="E65:H65" si="29">E61+E48</f>
        <v>0</v>
      </c>
      <c r="F65" s="627">
        <f t="shared" si="29"/>
        <v>0</v>
      </c>
      <c r="G65" s="627">
        <f t="shared" si="29"/>
        <v>0</v>
      </c>
      <c r="H65" s="627">
        <f t="shared" si="29"/>
        <v>0</v>
      </c>
      <c r="I65" s="43">
        <f>SUM(D65:INDEX(D65:H65,0,MATCH('RFPR cover'!$C$9,$D$6:$H$6,0)))</f>
        <v>0</v>
      </c>
      <c r="J65" s="45">
        <f>SUM(D65:H65)</f>
        <v>0</v>
      </c>
      <c r="K65" s="155"/>
      <c r="L65" s="155"/>
      <c r="M65" s="155"/>
      <c r="N65" s="155"/>
      <c r="O65"/>
      <c r="P65"/>
    </row>
    <row r="66" spans="2:17">
      <c r="B66" s="66" t="s">
        <v>245</v>
      </c>
      <c r="C66" s="38" t="str">
        <f>Data!$C$9</f>
        <v>£m 18/19</v>
      </c>
      <c r="D66" s="627">
        <f>D49+D62</f>
        <v>0</v>
      </c>
      <c r="E66" s="627">
        <f t="shared" ref="E66:H66" si="30">E49+E62</f>
        <v>0</v>
      </c>
      <c r="F66" s="627">
        <f t="shared" si="30"/>
        <v>0</v>
      </c>
      <c r="G66" s="627">
        <f t="shared" si="30"/>
        <v>0</v>
      </c>
      <c r="H66" s="627">
        <f t="shared" si="30"/>
        <v>0</v>
      </c>
      <c r="I66" s="43">
        <f>SUM(D66:INDEX(D66:H66,0,MATCH('RFPR cover'!$C$9,$D$6:$H$6,0)))</f>
        <v>0</v>
      </c>
      <c r="J66" s="45">
        <f t="shared" ref="J66" si="31">SUM(D66:H66)</f>
        <v>0</v>
      </c>
      <c r="K66" s="155"/>
      <c r="L66" s="155"/>
      <c r="M66" s="155"/>
      <c r="N66" s="155"/>
      <c r="O66"/>
      <c r="P66"/>
    </row>
    <row r="67" spans="2:17">
      <c r="B67" s="155" t="s">
        <v>252</v>
      </c>
      <c r="C67" s="77" t="str">
        <f>Data!$C$9</f>
        <v>£m 18/19</v>
      </c>
      <c r="D67" s="627">
        <f>SUM(D65:D66)</f>
        <v>0</v>
      </c>
      <c r="E67" s="627">
        <f t="shared" ref="E67:H67" si="32">SUM(E65:E66)</f>
        <v>0</v>
      </c>
      <c r="F67" s="627">
        <f t="shared" si="32"/>
        <v>0</v>
      </c>
      <c r="G67" s="627">
        <f t="shared" si="32"/>
        <v>0</v>
      </c>
      <c r="H67" s="627">
        <f t="shared" si="32"/>
        <v>0</v>
      </c>
      <c r="I67" s="43">
        <f>SUM(D67:INDEX(D67:H67,0,MATCH('RFPR cover'!$C$9,$D$6:$H$6,0)))</f>
        <v>0</v>
      </c>
      <c r="J67" s="45">
        <f t="shared" ref="J67" si="33">SUM(D67:H67)</f>
        <v>0</v>
      </c>
      <c r="K67"/>
      <c r="L67"/>
      <c r="M67"/>
      <c r="N67"/>
      <c r="O67"/>
      <c r="P67"/>
    </row>
    <row r="68" spans="2:17">
      <c r="C68" s="38"/>
      <c r="D68" s="38"/>
      <c r="E68" s="38"/>
      <c r="F68" s="38"/>
      <c r="G68" s="38"/>
      <c r="H68" s="38"/>
      <c r="I68" s="38"/>
      <c r="J68" s="38"/>
      <c r="K68" s="38"/>
      <c r="L68" s="38"/>
      <c r="M68" s="38"/>
      <c r="N68" s="38"/>
      <c r="O68" s="38"/>
      <c r="P68" s="38"/>
      <c r="Q68" s="38"/>
    </row>
    <row r="69" spans="2:17">
      <c r="B69" s="372" t="s">
        <v>255</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256</v>
      </c>
      <c r="C71" s="38" t="str">
        <f>Data!$C$9</f>
        <v>£m 18/19</v>
      </c>
      <c r="D71" s="428">
        <v>0</v>
      </c>
      <c r="E71" s="428">
        <v>0</v>
      </c>
      <c r="F71" s="428">
        <v>0</v>
      </c>
      <c r="G71" s="428">
        <v>0</v>
      </c>
      <c r="H71" s="428">
        <v>0</v>
      </c>
      <c r="I71" s="219">
        <f>SUM(D71:INDEX(D71:H71,0,MATCH('RFPR cover'!$C$9,$D$6:$H$6,0)))</f>
        <v>0</v>
      </c>
      <c r="J71" s="220">
        <f>SUM(D71:H71)</f>
        <v>0</v>
      </c>
      <c r="K71"/>
      <c r="L71"/>
      <c r="M71"/>
      <c r="N71"/>
      <c r="O71"/>
      <c r="P71"/>
    </row>
    <row r="72" spans="2:17" ht="16.5" customHeight="1">
      <c r="B72" s="67" t="s">
        <v>257</v>
      </c>
      <c r="C72" s="11" t="str">
        <f>Data!$C$9</f>
        <v>£m 18/19</v>
      </c>
      <c r="D72" s="428">
        <v>0</v>
      </c>
      <c r="E72" s="428">
        <v>0</v>
      </c>
      <c r="F72" s="428">
        <v>0</v>
      </c>
      <c r="G72" s="428">
        <v>0</v>
      </c>
      <c r="H72" s="428">
        <v>0</v>
      </c>
      <c r="I72" s="429">
        <f>SUM(D72:INDEX(D72:H72,0,MATCH('RFPR cover'!$C$9,$D$6:$H$6,0)))</f>
        <v>0</v>
      </c>
      <c r="J72" s="430">
        <f>SUM(D72:H72)</f>
        <v>0</v>
      </c>
      <c r="K72" s="431"/>
      <c r="L72" s="431"/>
      <c r="M72" s="431"/>
      <c r="N72" s="431"/>
      <c r="O72" s="431"/>
      <c r="P72" s="431"/>
    </row>
    <row r="73" spans="2:17">
      <c r="B73" s="247" t="s">
        <v>242</v>
      </c>
      <c r="C73" s="38" t="str">
        <f>Data!$C$9</f>
        <v>£m 18/19</v>
      </c>
      <c r="D73" s="627">
        <f>D72-D71</f>
        <v>0</v>
      </c>
      <c r="E73" s="627">
        <f t="shared" ref="E73:J73" si="34">E72-E71</f>
        <v>0</v>
      </c>
      <c r="F73" s="627">
        <f t="shared" si="34"/>
        <v>0</v>
      </c>
      <c r="G73" s="627">
        <f t="shared" si="34"/>
        <v>0</v>
      </c>
      <c r="H73" s="627">
        <f t="shared" si="34"/>
        <v>0</v>
      </c>
      <c r="I73" s="407">
        <f t="shared" si="34"/>
        <v>0</v>
      </c>
      <c r="J73" s="579">
        <f t="shared" si="34"/>
        <v>0</v>
      </c>
      <c r="K73"/>
      <c r="L73"/>
      <c r="M73"/>
      <c r="N73"/>
      <c r="O73"/>
      <c r="P73"/>
    </row>
    <row r="74" spans="2:17">
      <c r="B74" s="247"/>
      <c r="C74" s="38"/>
      <c r="D74" s="32"/>
      <c r="E74" s="32"/>
      <c r="F74" s="32"/>
      <c r="G74" s="32"/>
      <c r="H74" s="32"/>
      <c r="I74" s="32"/>
      <c r="J74" s="32"/>
      <c r="K74"/>
      <c r="L74"/>
      <c r="M74"/>
      <c r="N74"/>
      <c r="O74"/>
      <c r="P74"/>
    </row>
    <row r="75" spans="2:17">
      <c r="B75" s="66" t="s">
        <v>243</v>
      </c>
      <c r="C75" s="69" t="s">
        <v>158</v>
      </c>
      <c r="D75" s="57">
        <f>INDEX(Data!$C$55:$C$83,MATCH('RFPR cover'!$C$7,Data!$B$55:$B$83,0),0)</f>
        <v>0.51</v>
      </c>
      <c r="E75" s="57">
        <f>INDEX(Data!$C$55:$C$83,MATCH('RFPR cover'!$C$7,Data!$B$55:$B$83,0),0)</f>
        <v>0.51</v>
      </c>
      <c r="F75" s="57">
        <f>INDEX(Data!$C$55:$C$83,MATCH('RFPR cover'!$C$7,Data!$B$55:$B$83,0),0)</f>
        <v>0.51</v>
      </c>
      <c r="G75" s="57">
        <f>INDEX(Data!$C$55:$C$83,MATCH('RFPR cover'!$C$7,Data!$B$55:$B$83,0),0)</f>
        <v>0.51</v>
      </c>
      <c r="H75" s="57">
        <f>INDEX(Data!$C$55:$C$83,MATCH('RFPR cover'!$C$7,Data!$B$55:$B$83,0),0)</f>
        <v>0.51</v>
      </c>
      <c r="I75" s="35"/>
      <c r="J75" s="35"/>
      <c r="K75"/>
      <c r="L75"/>
      <c r="M75"/>
      <c r="N75"/>
      <c r="O75"/>
      <c r="P75"/>
    </row>
    <row r="76" spans="2:17">
      <c r="K76"/>
      <c r="L76"/>
      <c r="M76"/>
      <c r="N76"/>
      <c r="O76"/>
      <c r="P76"/>
    </row>
    <row r="77" spans="2:17">
      <c r="B77" s="66" t="s">
        <v>244</v>
      </c>
      <c r="C77" s="38" t="str">
        <f>Data!$C$9</f>
        <v>£m 18/19</v>
      </c>
      <c r="D77" s="627">
        <f>D73*D75</f>
        <v>0</v>
      </c>
      <c r="E77" s="627">
        <f t="shared" ref="E77:H77" si="35">E73*E75</f>
        <v>0</v>
      </c>
      <c r="F77" s="627">
        <f t="shared" si="35"/>
        <v>0</v>
      </c>
      <c r="G77" s="627">
        <f t="shared" si="35"/>
        <v>0</v>
      </c>
      <c r="H77" s="627">
        <f t="shared" si="35"/>
        <v>0</v>
      </c>
      <c r="I77" s="142">
        <f>SUM(D77:INDEX(D77:H77,0,MATCH('RFPR cover'!$C$9,$D$6:$H$6,0)))</f>
        <v>0</v>
      </c>
      <c r="J77" s="198">
        <f>SUM(D77:H77)</f>
        <v>0</v>
      </c>
      <c r="K77"/>
      <c r="L77"/>
      <c r="M77"/>
      <c r="N77"/>
      <c r="O77"/>
      <c r="P77"/>
    </row>
    <row r="78" spans="2:17">
      <c r="B78" s="66" t="s">
        <v>245</v>
      </c>
      <c r="C78" s="38" t="str">
        <f>Data!$C$9</f>
        <v>£m 18/19</v>
      </c>
      <c r="D78" s="627">
        <f>D73*(1-D75)</f>
        <v>0</v>
      </c>
      <c r="E78" s="627">
        <f t="shared" ref="E78:H78" si="36">E73*(1-E75)</f>
        <v>0</v>
      </c>
      <c r="F78" s="627">
        <f t="shared" si="36"/>
        <v>0</v>
      </c>
      <c r="G78" s="627">
        <f t="shared" si="36"/>
        <v>0</v>
      </c>
      <c r="H78" s="627">
        <f t="shared" si="36"/>
        <v>0</v>
      </c>
      <c r="I78" s="201">
        <f>SUM(D78:INDEX(D78:H78,0,MATCH('RFPR cover'!$C$9,$D$6:$H$6,0)))</f>
        <v>0</v>
      </c>
      <c r="J78" s="202">
        <f>SUM(D78:H78)</f>
        <v>0</v>
      </c>
      <c r="K78"/>
      <c r="L78"/>
      <c r="M78"/>
      <c r="N78"/>
      <c r="O78"/>
      <c r="P78"/>
    </row>
    <row r="79" spans="2:17">
      <c r="C79" s="66"/>
      <c r="D79" s="66"/>
      <c r="E79" s="66"/>
      <c r="F79" s="66"/>
      <c r="G79" s="66"/>
      <c r="H79" s="66"/>
      <c r="I79" s="66"/>
      <c r="J79" s="66"/>
      <c r="K79" s="66"/>
      <c r="L79" s="66"/>
      <c r="M79"/>
      <c r="N79"/>
      <c r="O79"/>
      <c r="P79"/>
    </row>
    <row r="80" spans="2:17">
      <c r="B80" s="155" t="s">
        <v>246</v>
      </c>
      <c r="K80" s="66"/>
      <c r="L80" s="66"/>
      <c r="M80"/>
      <c r="N80"/>
      <c r="O80"/>
      <c r="P80"/>
    </row>
    <row r="81" spans="2:16">
      <c r="B81" s="379" t="s">
        <v>559</v>
      </c>
      <c r="C81" s="38" t="str">
        <f>Data!$C$9</f>
        <v>£m 18/19</v>
      </c>
      <c r="D81" s="207">
        <v>0</v>
      </c>
      <c r="E81" s="207">
        <v>0</v>
      </c>
      <c r="F81" s="207">
        <v>0</v>
      </c>
      <c r="G81" s="207">
        <v>0</v>
      </c>
      <c r="H81" s="207">
        <v>0</v>
      </c>
      <c r="I81" s="43">
        <f>SUM(D81:INDEX(D81:H81,0,MATCH('RFPR cover'!$C$9,$D$6:$H$6,0)))</f>
        <v>0</v>
      </c>
      <c r="J81" s="45">
        <f>SUM(D81:H81)</f>
        <v>0</v>
      </c>
      <c r="K81" s="66"/>
      <c r="L81" s="66"/>
      <c r="M81"/>
      <c r="N81"/>
      <c r="O81"/>
      <c r="P81"/>
    </row>
    <row r="82" spans="2:16">
      <c r="B82" s="379" t="s">
        <v>558</v>
      </c>
      <c r="C82" s="38" t="str">
        <f>Data!$C$9</f>
        <v>£m 18/19</v>
      </c>
      <c r="D82" s="207">
        <v>0</v>
      </c>
      <c r="E82" s="207">
        <v>0</v>
      </c>
      <c r="F82" s="207">
        <v>0</v>
      </c>
      <c r="G82" s="207">
        <v>0</v>
      </c>
      <c r="H82" s="207">
        <v>0</v>
      </c>
      <c r="I82" s="43">
        <f>SUM(D82:INDEX(D82:H82,0,MATCH('RFPR cover'!$C$9,$D$6:$H$6,0)))</f>
        <v>0</v>
      </c>
      <c r="J82" s="45">
        <f t="shared" ref="J82:J83" si="37">SUM(D82:H82)</f>
        <v>0</v>
      </c>
      <c r="K82" s="66"/>
      <c r="L82" s="66"/>
      <c r="M82"/>
      <c r="N82"/>
      <c r="O82"/>
      <c r="P82"/>
    </row>
    <row r="83" spans="2:16">
      <c r="B83" s="155" t="s">
        <v>247</v>
      </c>
      <c r="C83" s="38" t="str">
        <f>Data!$C$9</f>
        <v>£m 18/19</v>
      </c>
      <c r="D83" s="627">
        <f>SUM(D81:D82)</f>
        <v>0</v>
      </c>
      <c r="E83" s="627">
        <f t="shared" ref="E83" si="38">SUM(E81:E82)</f>
        <v>0</v>
      </c>
      <c r="F83" s="627">
        <f t="shared" ref="F83" si="39">SUM(F81:F82)</f>
        <v>0</v>
      </c>
      <c r="G83" s="627">
        <f t="shared" ref="G83" si="40">SUM(G81:G82)</f>
        <v>0</v>
      </c>
      <c r="H83" s="627">
        <f t="shared" ref="H83" si="41">SUM(H81:H82)</f>
        <v>0</v>
      </c>
      <c r="I83" s="43">
        <f>SUM(D83:INDEX(D83:H83,0,MATCH('RFPR cover'!$C$9,$D$6:$H$6,0)))</f>
        <v>0</v>
      </c>
      <c r="J83" s="45">
        <f t="shared" si="37"/>
        <v>0</v>
      </c>
      <c r="K83" s="66"/>
      <c r="L83" s="66"/>
      <c r="M83"/>
      <c r="N83"/>
      <c r="O83"/>
      <c r="P83"/>
    </row>
    <row r="84" spans="2:16">
      <c r="B84" s="155"/>
      <c r="C84" s="155"/>
      <c r="D84" s="155"/>
      <c r="E84" s="155"/>
      <c r="F84" s="155"/>
      <c r="G84" s="155"/>
      <c r="H84" s="155"/>
      <c r="I84" s="155"/>
      <c r="J84" s="155"/>
      <c r="K84" s="66"/>
      <c r="L84" s="66"/>
      <c r="M84"/>
      <c r="N84"/>
      <c r="O84"/>
      <c r="P84"/>
    </row>
    <row r="85" spans="2:16">
      <c r="B85" s="66" t="s">
        <v>249</v>
      </c>
      <c r="C85" s="38"/>
      <c r="D85" s="627">
        <f>D83*D75</f>
        <v>0</v>
      </c>
      <c r="E85" s="627">
        <f t="shared" ref="E85:H85" si="42">E83*E75</f>
        <v>0</v>
      </c>
      <c r="F85" s="627">
        <f t="shared" si="42"/>
        <v>0</v>
      </c>
      <c r="G85" s="627">
        <f t="shared" si="42"/>
        <v>0</v>
      </c>
      <c r="H85" s="627">
        <f t="shared" si="42"/>
        <v>0</v>
      </c>
      <c r="I85" s="46">
        <f>SUM(D85:INDEX(D85:H85,0,MATCH('RFPR cover'!$C$9,$D$6:$H$6,0)))</f>
        <v>0</v>
      </c>
      <c r="J85" s="48">
        <f>SUM(D85:H85)</f>
        <v>0</v>
      </c>
      <c r="K85" s="66"/>
      <c r="L85" s="66"/>
      <c r="M85"/>
      <c r="N85"/>
      <c r="O85"/>
      <c r="P85"/>
    </row>
    <row r="86" spans="2:16">
      <c r="B86" s="66" t="s">
        <v>250</v>
      </c>
      <c r="C86" s="38"/>
      <c r="D86" s="627">
        <f>D83*(1-D75)</f>
        <v>0</v>
      </c>
      <c r="E86" s="627">
        <f t="shared" ref="E86:H86" si="43">E83*(1-E75)</f>
        <v>0</v>
      </c>
      <c r="F86" s="627">
        <f t="shared" si="43"/>
        <v>0</v>
      </c>
      <c r="G86" s="627">
        <f t="shared" si="43"/>
        <v>0</v>
      </c>
      <c r="H86" s="627">
        <f t="shared" si="43"/>
        <v>0</v>
      </c>
      <c r="I86" s="43">
        <v>0</v>
      </c>
      <c r="J86" s="45">
        <f>SUM(D86:H86)</f>
        <v>0</v>
      </c>
      <c r="K86" s="66"/>
      <c r="L86" s="66"/>
      <c r="M86"/>
      <c r="N86"/>
      <c r="O86"/>
      <c r="P86"/>
    </row>
    <row r="87" spans="2:16">
      <c r="B87" s="155"/>
      <c r="C87" s="155"/>
      <c r="D87" s="155"/>
      <c r="E87" s="155"/>
      <c r="F87" s="155"/>
      <c r="G87" s="155"/>
      <c r="H87" s="155"/>
      <c r="I87" s="155"/>
      <c r="J87" s="155"/>
      <c r="K87" s="66"/>
      <c r="L87" s="66"/>
      <c r="M87"/>
      <c r="N87"/>
      <c r="O87"/>
      <c r="P87"/>
    </row>
    <row r="88" spans="2:16">
      <c r="B88" s="155" t="s">
        <v>251</v>
      </c>
      <c r="C88" s="155"/>
      <c r="D88" s="155"/>
      <c r="E88" s="155"/>
      <c r="F88" s="155"/>
      <c r="G88" s="155"/>
      <c r="H88" s="155"/>
      <c r="I88" s="155"/>
      <c r="J88" s="155"/>
      <c r="K88" s="66"/>
      <c r="L88" s="66"/>
      <c r="M88"/>
      <c r="N88"/>
      <c r="O88"/>
      <c r="P88"/>
    </row>
    <row r="89" spans="2:16">
      <c r="B89" s="66" t="s">
        <v>244</v>
      </c>
      <c r="C89" s="38" t="str">
        <f>Data!$C$9</f>
        <v>£m 18/19</v>
      </c>
      <c r="D89" s="627">
        <f>D85+D77</f>
        <v>0</v>
      </c>
      <c r="E89" s="627">
        <f t="shared" ref="E89:H89" si="44">E85+E77</f>
        <v>0</v>
      </c>
      <c r="F89" s="627">
        <f t="shared" si="44"/>
        <v>0</v>
      </c>
      <c r="G89" s="627">
        <f t="shared" si="44"/>
        <v>0</v>
      </c>
      <c r="H89" s="627">
        <f t="shared" si="44"/>
        <v>0</v>
      </c>
      <c r="I89" s="43">
        <f>SUM(D89:INDEX(D89:H89,0,MATCH('RFPR cover'!$C$9,$D$6:$H$6,0)))</f>
        <v>0</v>
      </c>
      <c r="J89" s="45">
        <f>SUM(D89:H89)</f>
        <v>0</v>
      </c>
      <c r="K89" s="66"/>
      <c r="L89" s="66"/>
      <c r="M89"/>
      <c r="N89"/>
      <c r="O89"/>
      <c r="P89"/>
    </row>
    <row r="90" spans="2:16">
      <c r="B90" s="66" t="s">
        <v>245</v>
      </c>
      <c r="C90" s="38" t="str">
        <f>Data!$C$9</f>
        <v>£m 18/19</v>
      </c>
      <c r="D90" s="627">
        <f>D78+D86</f>
        <v>0</v>
      </c>
      <c r="E90" s="627">
        <f t="shared" ref="E90:H90" si="45">E78+E86</f>
        <v>0</v>
      </c>
      <c r="F90" s="627">
        <f t="shared" si="45"/>
        <v>0</v>
      </c>
      <c r="G90" s="627">
        <f t="shared" si="45"/>
        <v>0</v>
      </c>
      <c r="H90" s="627">
        <f t="shared" si="45"/>
        <v>0</v>
      </c>
      <c r="I90" s="43">
        <f>SUM(D90:INDEX(D90:H90,0,MATCH('RFPR cover'!$C$9,$D$6:$H$6,0)))</f>
        <v>0</v>
      </c>
      <c r="J90" s="45">
        <f t="shared" ref="J90:J91" si="46">SUM(D90:H90)</f>
        <v>0</v>
      </c>
      <c r="K90" s="66"/>
      <c r="L90" s="66"/>
      <c r="M90"/>
      <c r="N90"/>
      <c r="O90"/>
      <c r="P90"/>
    </row>
    <row r="91" spans="2:16">
      <c r="B91" s="155" t="s">
        <v>252</v>
      </c>
      <c r="C91" s="77" t="str">
        <f>Data!$C$9</f>
        <v>£m 18/19</v>
      </c>
      <c r="D91" s="627">
        <f>SUM(D89:D90)</f>
        <v>0</v>
      </c>
      <c r="E91" s="627">
        <f t="shared" ref="E91:H91" si="47">SUM(E89:E90)</f>
        <v>0</v>
      </c>
      <c r="F91" s="627">
        <f t="shared" si="47"/>
        <v>0</v>
      </c>
      <c r="G91" s="627">
        <f t="shared" si="47"/>
        <v>0</v>
      </c>
      <c r="H91" s="627">
        <f t="shared" si="47"/>
        <v>0</v>
      </c>
      <c r="I91" s="43">
        <f>SUM(D91:INDEX(D91:H91,0,MATCH('RFPR cover'!$C$9,$D$6:$H$6,0)))</f>
        <v>0</v>
      </c>
      <c r="J91" s="45">
        <f t="shared" si="46"/>
        <v>0</v>
      </c>
      <c r="K91"/>
      <c r="L91"/>
      <c r="M91"/>
      <c r="N91"/>
      <c r="O91"/>
      <c r="P91"/>
    </row>
    <row r="92" spans="2:16">
      <c r="K92"/>
      <c r="L92"/>
      <c r="M92"/>
      <c r="N92"/>
      <c r="O92"/>
      <c r="P92"/>
    </row>
    <row r="93" spans="2:16">
      <c r="B93" s="245" t="s">
        <v>258</v>
      </c>
      <c r="C93" s="73"/>
      <c r="D93" s="41"/>
      <c r="E93" s="41"/>
      <c r="F93" s="41"/>
      <c r="G93" s="41"/>
      <c r="H93" s="41"/>
      <c r="I93" s="41"/>
      <c r="J93" s="41"/>
      <c r="N93"/>
      <c r="O93"/>
      <c r="P93"/>
    </row>
    <row r="94" spans="2:16">
      <c r="K94"/>
      <c r="L94"/>
      <c r="M94"/>
      <c r="N94"/>
      <c r="O94"/>
      <c r="P94"/>
    </row>
    <row r="95" spans="2:16">
      <c r="B95" s="155" t="s">
        <v>259</v>
      </c>
      <c r="N95"/>
      <c r="O95"/>
      <c r="P95"/>
    </row>
    <row r="96" spans="2:16">
      <c r="B96" s="66" t="s">
        <v>260</v>
      </c>
      <c r="C96" s="38" t="str">
        <f>Data!$C$9</f>
        <v>£m 18/19</v>
      </c>
      <c r="D96" s="627">
        <f t="shared" ref="D96:H97" si="48">D36+D65+D89</f>
        <v>0</v>
      </c>
      <c r="E96" s="627">
        <f t="shared" si="48"/>
        <v>0</v>
      </c>
      <c r="F96" s="627">
        <f t="shared" si="48"/>
        <v>0</v>
      </c>
      <c r="G96" s="627">
        <f t="shared" si="48"/>
        <v>0</v>
      </c>
      <c r="H96" s="627">
        <f t="shared" si="48"/>
        <v>0</v>
      </c>
      <c r="I96" s="43">
        <f>SUM(D96:INDEX(D96:H96,0,MATCH('RFPR cover'!$C$9,$D$6:$H$6,0)))</f>
        <v>0</v>
      </c>
      <c r="J96" s="45">
        <f>SUM(D96:H96)</f>
        <v>0</v>
      </c>
      <c r="N96"/>
      <c r="O96" s="359"/>
      <c r="P96"/>
    </row>
    <row r="97" spans="2:16">
      <c r="B97" s="66" t="s">
        <v>245</v>
      </c>
      <c r="C97" s="38" t="str">
        <f>Data!$C$9</f>
        <v>£m 18/19</v>
      </c>
      <c r="D97" s="627">
        <f t="shared" si="48"/>
        <v>0</v>
      </c>
      <c r="E97" s="627">
        <f t="shared" si="48"/>
        <v>0</v>
      </c>
      <c r="F97" s="627">
        <f t="shared" si="48"/>
        <v>0</v>
      </c>
      <c r="G97" s="627">
        <f t="shared" si="48"/>
        <v>0</v>
      </c>
      <c r="H97" s="627">
        <f t="shared" si="48"/>
        <v>0</v>
      </c>
      <c r="I97" s="43">
        <f>SUM(D97:INDEX(D97:H97,0,MATCH('RFPR cover'!$C$9,$D$6:$H$6,0)))</f>
        <v>0</v>
      </c>
      <c r="J97" s="45">
        <f t="shared" ref="J97:J98" si="49">SUM(D97:H97)</f>
        <v>0</v>
      </c>
      <c r="N97"/>
      <c r="O97"/>
      <c r="P97"/>
    </row>
    <row r="98" spans="2:16">
      <c r="B98" s="155" t="s">
        <v>261</v>
      </c>
      <c r="C98" s="77" t="str">
        <f>Data!$C$9</f>
        <v>£m 18/19</v>
      </c>
      <c r="D98" s="627">
        <f>SUM(D96:D97)</f>
        <v>0</v>
      </c>
      <c r="E98" s="627">
        <f t="shared" ref="E98:H98" si="50">SUM(E96:E97)</f>
        <v>0</v>
      </c>
      <c r="F98" s="627">
        <f t="shared" si="50"/>
        <v>0</v>
      </c>
      <c r="G98" s="627">
        <f t="shared" si="50"/>
        <v>0</v>
      </c>
      <c r="H98" s="627">
        <f t="shared" si="50"/>
        <v>0</v>
      </c>
      <c r="I98" s="43">
        <f>SUM(D98:INDEX(D98:H98,0,MATCH('RFPR cover'!$C$9,$D$6:$H$6,0)))</f>
        <v>0</v>
      </c>
      <c r="J98" s="45">
        <f t="shared" si="49"/>
        <v>0</v>
      </c>
      <c r="N98"/>
      <c r="O98"/>
      <c r="P98"/>
    </row>
    <row r="99" spans="2:16">
      <c r="B99" s="155"/>
      <c r="C99" s="77"/>
      <c r="D99" s="77"/>
      <c r="E99" s="77"/>
      <c r="F99" s="77"/>
      <c r="G99" s="77"/>
      <c r="H99" s="77"/>
      <c r="I99" s="77"/>
      <c r="J99" s="77"/>
      <c r="N99"/>
      <c r="O99"/>
      <c r="P99"/>
    </row>
    <row r="100" spans="2:16">
      <c r="B100" s="513" t="s">
        <v>262</v>
      </c>
      <c r="C100" s="128"/>
      <c r="D100" s="128"/>
      <c r="E100" s="128"/>
      <c r="F100" s="128"/>
      <c r="G100" s="128"/>
      <c r="H100" s="129"/>
      <c r="I100" s="129"/>
      <c r="J100" s="129"/>
    </row>
    <row r="102" spans="2:16">
      <c r="B102" s="2"/>
    </row>
    <row r="103" spans="2:16">
      <c r="B103" s="3"/>
      <c r="D103" s="153" t="str">
        <f t="shared" ref="D103:H103" si="51">IF(D104&lt;=Reporting_Year,"Actuals","N/A")</f>
        <v>Actuals</v>
      </c>
      <c r="E103" s="154" t="str">
        <f t="shared" si="51"/>
        <v>N/A</v>
      </c>
      <c r="F103" s="154" t="str">
        <f t="shared" si="51"/>
        <v>N/A</v>
      </c>
      <c r="G103" s="154" t="str">
        <f t="shared" si="51"/>
        <v>N/A</v>
      </c>
      <c r="H103" s="154" t="str">
        <f t="shared" si="51"/>
        <v>N/A</v>
      </c>
    </row>
    <row r="104" spans="2:16">
      <c r="B104" s="2"/>
      <c r="D104" s="62">
        <f>'RFPR cover'!$C$6</f>
        <v>2022</v>
      </c>
      <c r="E104" s="63">
        <f t="shared" ref="E104:H104" si="52">D104+1</f>
        <v>2023</v>
      </c>
      <c r="F104" s="63">
        <f t="shared" si="52"/>
        <v>2024</v>
      </c>
      <c r="G104" s="63">
        <f t="shared" si="52"/>
        <v>2025</v>
      </c>
      <c r="H104" s="63">
        <f t="shared" si="52"/>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263</v>
      </c>
      <c r="C107" s="70"/>
      <c r="D107" s="5"/>
      <c r="E107" s="5"/>
      <c r="F107" s="5"/>
      <c r="G107" s="5"/>
      <c r="H107" s="5"/>
      <c r="N107"/>
    </row>
    <row r="108" spans="2:16">
      <c r="B108" s="66" t="s">
        <v>264</v>
      </c>
      <c r="C108" s="75" t="s">
        <v>194</v>
      </c>
      <c r="D108" s="204">
        <v>207.20000000000019</v>
      </c>
      <c r="E108" s="204"/>
      <c r="F108" s="204"/>
      <c r="G108" s="204"/>
      <c r="H108" s="204"/>
    </row>
    <row r="109" spans="2:16">
      <c r="B109" s="66" t="s">
        <v>265</v>
      </c>
      <c r="C109" s="75" t="s">
        <v>194</v>
      </c>
      <c r="D109" s="206">
        <v>0</v>
      </c>
      <c r="E109" s="207"/>
      <c r="F109" s="207"/>
      <c r="G109" s="204"/>
      <c r="H109" s="204"/>
    </row>
    <row r="110" spans="2:16" ht="38.25">
      <c r="B110" s="67" t="s">
        <v>266</v>
      </c>
      <c r="C110" s="75" t="s">
        <v>194</v>
      </c>
      <c r="D110" s="206">
        <v>0</v>
      </c>
      <c r="E110" s="207"/>
      <c r="F110" s="207"/>
      <c r="G110" s="207"/>
      <c r="H110" s="207"/>
    </row>
    <row r="111" spans="2:16">
      <c r="B111" s="66" t="s">
        <v>267</v>
      </c>
      <c r="C111" s="75" t="s">
        <v>194</v>
      </c>
      <c r="D111" s="204">
        <v>-18.899999999999999</v>
      </c>
      <c r="E111" s="204"/>
      <c r="F111" s="204"/>
      <c r="G111" s="204"/>
      <c r="H111" s="204"/>
    </row>
    <row r="112" spans="2:16">
      <c r="B112" s="66" t="s">
        <v>268</v>
      </c>
      <c r="C112" s="75" t="s">
        <v>194</v>
      </c>
      <c r="D112" s="206">
        <v>-3.2641119999999996E-2</v>
      </c>
      <c r="E112" s="207"/>
      <c r="F112" s="207"/>
      <c r="G112" s="207"/>
      <c r="H112" s="207"/>
      <c r="O112"/>
      <c r="P112"/>
    </row>
    <row r="113" spans="1:8">
      <c r="B113" s="66" t="s">
        <v>269</v>
      </c>
      <c r="C113" s="75" t="s">
        <v>194</v>
      </c>
      <c r="D113" s="213">
        <v>0</v>
      </c>
      <c r="E113" s="214"/>
      <c r="F113" s="214"/>
      <c r="G113" s="214"/>
      <c r="H113" s="214"/>
    </row>
    <row r="114" spans="1:8">
      <c r="A114" s="3">
        <v>1</v>
      </c>
      <c r="B114" s="379" t="s">
        <v>560</v>
      </c>
      <c r="C114" s="75" t="s">
        <v>194</v>
      </c>
      <c r="D114" s="204">
        <v>-0.2</v>
      </c>
      <c r="E114" s="205"/>
      <c r="F114" s="205"/>
      <c r="G114" s="205"/>
      <c r="H114" s="205"/>
    </row>
    <row r="115" spans="1:8">
      <c r="A115" s="3">
        <v>2</v>
      </c>
      <c r="B115" s="379" t="s">
        <v>561</v>
      </c>
      <c r="C115" s="75" t="s">
        <v>194</v>
      </c>
      <c r="D115" s="206">
        <v>0</v>
      </c>
      <c r="E115" s="207"/>
      <c r="F115" s="207"/>
      <c r="G115" s="207"/>
      <c r="H115" s="207"/>
    </row>
    <row r="116" spans="1:8">
      <c r="A116" s="3">
        <v>3</v>
      </c>
      <c r="B116" s="379" t="s">
        <v>561</v>
      </c>
      <c r="C116" s="75" t="s">
        <v>194</v>
      </c>
      <c r="D116" s="206">
        <v>0</v>
      </c>
      <c r="E116" s="207"/>
      <c r="F116" s="207"/>
      <c r="G116" s="207"/>
      <c r="H116" s="207"/>
    </row>
    <row r="117" spans="1:8">
      <c r="B117" s="5" t="s">
        <v>270</v>
      </c>
      <c r="C117" s="75" t="s">
        <v>194</v>
      </c>
      <c r="D117" s="215">
        <f t="shared" ref="D117:H117" si="53">SUM(D108:D116)</f>
        <v>188.0673588800002</v>
      </c>
      <c r="E117" s="627">
        <f t="shared" si="53"/>
        <v>0</v>
      </c>
      <c r="F117" s="627">
        <f t="shared" si="53"/>
        <v>0</v>
      </c>
      <c r="G117" s="627">
        <f t="shared" si="53"/>
        <v>0</v>
      </c>
      <c r="H117" s="627">
        <f t="shared" si="53"/>
        <v>0</v>
      </c>
    </row>
    <row r="118" spans="1:8">
      <c r="B118" s="66" t="s">
        <v>271</v>
      </c>
      <c r="C118" s="75" t="s">
        <v>194</v>
      </c>
      <c r="D118" s="204">
        <v>84.9</v>
      </c>
      <c r="E118" s="204"/>
      <c r="F118" s="204"/>
      <c r="G118" s="204"/>
      <c r="H118" s="204"/>
    </row>
    <row r="119" spans="1:8">
      <c r="A119" s="3">
        <v>1</v>
      </c>
      <c r="B119" s="379" t="s">
        <v>561</v>
      </c>
      <c r="C119" s="75" t="s">
        <v>194</v>
      </c>
      <c r="D119" s="204">
        <v>0</v>
      </c>
      <c r="E119" s="205"/>
      <c r="F119" s="205"/>
      <c r="G119" s="205"/>
      <c r="H119" s="205"/>
    </row>
    <row r="120" spans="1:8">
      <c r="A120" s="3">
        <v>2</v>
      </c>
      <c r="B120" s="379" t="s">
        <v>561</v>
      </c>
      <c r="C120" s="75" t="s">
        <v>194</v>
      </c>
      <c r="D120" s="206">
        <v>0</v>
      </c>
      <c r="E120" s="207"/>
      <c r="F120" s="207"/>
      <c r="G120" s="207"/>
      <c r="H120" s="207"/>
    </row>
    <row r="121" spans="1:8">
      <c r="A121" s="3">
        <v>3</v>
      </c>
      <c r="B121" s="379" t="s">
        <v>561</v>
      </c>
      <c r="C121" s="75" t="s">
        <v>194</v>
      </c>
      <c r="D121" s="206">
        <v>0</v>
      </c>
      <c r="E121" s="207"/>
      <c r="F121" s="207"/>
      <c r="G121" s="207"/>
      <c r="H121" s="207"/>
    </row>
    <row r="122" spans="1:8">
      <c r="A122" s="3"/>
      <c r="B122" s="5" t="s">
        <v>272</v>
      </c>
      <c r="C122" s="75" t="s">
        <v>194</v>
      </c>
      <c r="D122" s="627">
        <f>SUM(D118:D121)</f>
        <v>84.9</v>
      </c>
      <c r="E122" s="627">
        <f t="shared" ref="E122:H122" si="54">SUM(E118:E121)</f>
        <v>0</v>
      </c>
      <c r="F122" s="627">
        <f t="shared" si="54"/>
        <v>0</v>
      </c>
      <c r="G122" s="627">
        <f t="shared" si="54"/>
        <v>0</v>
      </c>
      <c r="H122" s="627">
        <f t="shared" si="54"/>
        <v>0</v>
      </c>
    </row>
    <row r="123" spans="1:8" s="167" customFormat="1" ht="15" customHeight="1">
      <c r="B123" s="260" t="s">
        <v>273</v>
      </c>
      <c r="C123" s="375" t="s">
        <v>194</v>
      </c>
      <c r="D123" s="627">
        <f>SUM(D117,D122)</f>
        <v>272.96735888000023</v>
      </c>
      <c r="E123" s="627">
        <f t="shared" ref="E123:H123" si="55">SUM(E117,E122)</f>
        <v>0</v>
      </c>
      <c r="F123" s="627">
        <f t="shared" si="55"/>
        <v>0</v>
      </c>
      <c r="G123" s="627">
        <f t="shared" si="55"/>
        <v>0</v>
      </c>
      <c r="H123" s="627">
        <f t="shared" si="55"/>
        <v>0</v>
      </c>
    </row>
    <row r="124" spans="1:8" ht="7.5" customHeight="1">
      <c r="B124" s="2"/>
      <c r="D124" s="29"/>
      <c r="E124" s="29"/>
      <c r="F124" s="29"/>
      <c r="G124" s="29"/>
      <c r="H124" s="29"/>
    </row>
    <row r="125" spans="1:8" ht="26.45" customHeight="1">
      <c r="B125" s="5" t="s">
        <v>274</v>
      </c>
      <c r="C125" s="75"/>
    </row>
    <row r="126" spans="1:8">
      <c r="B126" s="641" t="s">
        <v>275</v>
      </c>
      <c r="C126" s="75"/>
    </row>
    <row r="127" spans="1:8">
      <c r="A127" s="3">
        <v>1</v>
      </c>
      <c r="B127" s="379" t="s">
        <v>562</v>
      </c>
      <c r="C127" s="75" t="s">
        <v>194</v>
      </c>
      <c r="D127" s="204">
        <v>-0.21149863047470507</v>
      </c>
      <c r="E127" s="204"/>
      <c r="F127" s="204"/>
      <c r="G127" s="204"/>
      <c r="H127" s="204"/>
    </row>
    <row r="128" spans="1:8">
      <c r="A128" s="3">
        <v>2</v>
      </c>
      <c r="B128" s="379" t="s">
        <v>563</v>
      </c>
      <c r="C128" s="75" t="s">
        <v>194</v>
      </c>
      <c r="D128" s="204">
        <v>2.9581021429088246</v>
      </c>
      <c r="E128" s="204"/>
      <c r="F128" s="204"/>
      <c r="G128" s="204"/>
      <c r="H128" s="204"/>
    </row>
    <row r="129" spans="1:16">
      <c r="A129" s="3">
        <v>3</v>
      </c>
      <c r="B129" s="379" t="s">
        <v>564</v>
      </c>
      <c r="C129" s="75" t="s">
        <v>194</v>
      </c>
      <c r="D129" s="204">
        <v>0.25068044070000006</v>
      </c>
      <c r="E129" s="204"/>
      <c r="F129" s="204"/>
      <c r="G129" s="204"/>
      <c r="H129" s="204"/>
    </row>
    <row r="130" spans="1:16">
      <c r="A130" s="3">
        <v>4</v>
      </c>
      <c r="B130" s="379" t="s">
        <v>565</v>
      </c>
      <c r="C130" s="75" t="s">
        <v>194</v>
      </c>
      <c r="D130" s="204">
        <v>0.32418806837391401</v>
      </c>
      <c r="E130" s="204"/>
      <c r="F130" s="204"/>
      <c r="G130" s="204"/>
      <c r="H130" s="204"/>
    </row>
    <row r="131" spans="1:16">
      <c r="A131" s="3">
        <v>5</v>
      </c>
      <c r="B131" s="379" t="s">
        <v>566</v>
      </c>
      <c r="C131" s="75" t="s">
        <v>194</v>
      </c>
      <c r="D131" s="204">
        <v>9</v>
      </c>
      <c r="E131" s="204"/>
      <c r="F131" s="204"/>
      <c r="G131" s="204"/>
      <c r="H131" s="204"/>
    </row>
    <row r="132" spans="1:16">
      <c r="A132" s="3">
        <v>6</v>
      </c>
      <c r="B132" s="379" t="s">
        <v>567</v>
      </c>
      <c r="C132" s="75" t="s">
        <v>194</v>
      </c>
      <c r="D132" s="204">
        <v>-4.8600000000000003</v>
      </c>
      <c r="E132" s="204"/>
      <c r="F132" s="204"/>
      <c r="G132" s="204"/>
      <c r="H132" s="204"/>
    </row>
    <row r="133" spans="1:16">
      <c r="A133" s="3">
        <v>7</v>
      </c>
      <c r="B133" s="379" t="s">
        <v>561</v>
      </c>
      <c r="C133" s="75" t="s">
        <v>194</v>
      </c>
      <c r="D133" s="204">
        <v>0</v>
      </c>
      <c r="E133" s="204"/>
      <c r="F133" s="204"/>
      <c r="G133" s="204"/>
      <c r="H133" s="204"/>
    </row>
    <row r="134" spans="1:16" ht="18.600000000000001" customHeight="1">
      <c r="A134" s="3"/>
      <c r="B134" s="2" t="s">
        <v>276</v>
      </c>
      <c r="C134" s="75" t="s">
        <v>194</v>
      </c>
      <c r="D134" s="627">
        <f>SUM(D127:D133)</f>
        <v>7.4614720215080323</v>
      </c>
      <c r="E134" s="627">
        <f t="shared" ref="E134:H134" si="56">SUM(E127:E133)</f>
        <v>0</v>
      </c>
      <c r="F134" s="627">
        <f t="shared" si="56"/>
        <v>0</v>
      </c>
      <c r="G134" s="627">
        <f t="shared" si="56"/>
        <v>0</v>
      </c>
      <c r="H134" s="627">
        <f t="shared" si="56"/>
        <v>0</v>
      </c>
    </row>
    <row r="135" spans="1:16">
      <c r="A135" s="3"/>
      <c r="B135" s="641" t="s">
        <v>277</v>
      </c>
      <c r="C135" s="5"/>
      <c r="D135" s="5"/>
      <c r="E135" s="5"/>
      <c r="F135" s="5"/>
      <c r="G135" s="5"/>
      <c r="H135" s="5"/>
    </row>
    <row r="136" spans="1:16">
      <c r="A136" s="3">
        <v>8</v>
      </c>
      <c r="B136" s="379" t="s">
        <v>568</v>
      </c>
      <c r="C136" s="75" t="s">
        <v>194</v>
      </c>
      <c r="D136" s="204">
        <v>-2.1713134849454003</v>
      </c>
      <c r="E136" s="204"/>
      <c r="F136" s="204"/>
      <c r="G136" s="204"/>
      <c r="H136" s="204"/>
    </row>
    <row r="137" spans="1:16">
      <c r="A137" s="3">
        <v>9</v>
      </c>
      <c r="B137" s="379" t="s">
        <v>569</v>
      </c>
      <c r="C137" s="75" t="s">
        <v>194</v>
      </c>
      <c r="D137" s="204">
        <v>-2.9181459103976901</v>
      </c>
      <c r="E137" s="204"/>
      <c r="F137" s="204"/>
      <c r="G137" s="204"/>
      <c r="H137" s="204"/>
    </row>
    <row r="138" spans="1:16">
      <c r="A138" s="3">
        <v>10</v>
      </c>
      <c r="B138" s="379" t="s">
        <v>570</v>
      </c>
      <c r="C138" s="75" t="s">
        <v>194</v>
      </c>
      <c r="D138" s="204">
        <v>0</v>
      </c>
      <c r="E138" s="204"/>
      <c r="F138" s="204"/>
      <c r="G138" s="204"/>
      <c r="H138" s="204"/>
    </row>
    <row r="139" spans="1:16">
      <c r="A139" s="3">
        <v>11</v>
      </c>
      <c r="B139" s="379" t="s">
        <v>571</v>
      </c>
      <c r="C139" s="75" t="s">
        <v>194</v>
      </c>
      <c r="D139" s="204">
        <v>4.3272119941182234</v>
      </c>
      <c r="E139" s="204"/>
      <c r="F139" s="204"/>
      <c r="G139" s="204"/>
      <c r="H139" s="204"/>
      <c r="O139"/>
      <c r="P139"/>
    </row>
    <row r="140" spans="1:16">
      <c r="A140" s="3">
        <v>12</v>
      </c>
      <c r="B140" s="379" t="s">
        <v>561</v>
      </c>
      <c r="C140" s="75" t="s">
        <v>194</v>
      </c>
      <c r="D140" s="204">
        <v>0</v>
      </c>
      <c r="E140" s="204"/>
      <c r="F140" s="204"/>
      <c r="G140" s="204"/>
      <c r="H140" s="204"/>
      <c r="O140"/>
      <c r="P140"/>
    </row>
    <row r="141" spans="1:16">
      <c r="A141" s="3">
        <v>13</v>
      </c>
      <c r="B141" s="379" t="s">
        <v>561</v>
      </c>
      <c r="C141" s="75" t="s">
        <v>194</v>
      </c>
      <c r="D141" s="204">
        <v>0</v>
      </c>
      <c r="E141" s="204"/>
      <c r="F141" s="204"/>
      <c r="G141" s="204"/>
      <c r="H141" s="204"/>
      <c r="O141"/>
      <c r="P141"/>
    </row>
    <row r="142" spans="1:16">
      <c r="A142" s="3">
        <v>14</v>
      </c>
      <c r="B142" s="379" t="s">
        <v>561</v>
      </c>
      <c r="C142" s="75" t="s">
        <v>194</v>
      </c>
      <c r="D142" s="204">
        <v>0</v>
      </c>
      <c r="E142" s="204"/>
      <c r="F142" s="204"/>
      <c r="G142" s="204"/>
      <c r="H142" s="204"/>
      <c r="O142"/>
      <c r="P142"/>
    </row>
    <row r="143" spans="1:16" ht="19.5" customHeight="1">
      <c r="A143" s="3"/>
      <c r="B143" s="2" t="s">
        <v>276</v>
      </c>
      <c r="C143" s="75" t="s">
        <v>194</v>
      </c>
      <c r="D143" s="627">
        <f>SUM(D136:D142)</f>
        <v>-0.762247401224867</v>
      </c>
      <c r="E143" s="627">
        <f t="shared" ref="E143:H143" si="57">SUM(E136:E142)</f>
        <v>0</v>
      </c>
      <c r="F143" s="627">
        <f t="shared" si="57"/>
        <v>0</v>
      </c>
      <c r="G143" s="627">
        <f t="shared" si="57"/>
        <v>0</v>
      </c>
      <c r="H143" s="627">
        <f t="shared" si="57"/>
        <v>0</v>
      </c>
      <c r="O143"/>
      <c r="P143"/>
    </row>
    <row r="144" spans="1:16" ht="17.45" customHeight="1">
      <c r="B144" s="5" t="s">
        <v>278</v>
      </c>
      <c r="C144" s="75" t="s">
        <v>194</v>
      </c>
      <c r="D144" s="627">
        <f>D134+D143</f>
        <v>6.6992246202831653</v>
      </c>
      <c r="E144" s="627">
        <f t="shared" ref="E144:H144" si="58">E134+E143</f>
        <v>0</v>
      </c>
      <c r="F144" s="627">
        <f t="shared" si="58"/>
        <v>0</v>
      </c>
      <c r="G144" s="627">
        <f t="shared" si="58"/>
        <v>0</v>
      </c>
      <c r="H144" s="627">
        <f t="shared" si="58"/>
        <v>0</v>
      </c>
      <c r="O144"/>
      <c r="P144"/>
    </row>
    <row r="145" spans="1:16">
      <c r="B145" s="2"/>
      <c r="D145" s="29"/>
      <c r="E145" s="29"/>
      <c r="F145" s="29"/>
      <c r="G145" s="29"/>
      <c r="H145" s="29"/>
      <c r="O145"/>
      <c r="P145"/>
    </row>
    <row r="146" spans="1:16">
      <c r="B146" s="5" t="s">
        <v>279</v>
      </c>
      <c r="C146" s="75" t="s">
        <v>194</v>
      </c>
      <c r="D146" s="627">
        <f>D144+D123</f>
        <v>279.66658350028342</v>
      </c>
      <c r="E146" s="627">
        <f>E144+E123</f>
        <v>0</v>
      </c>
      <c r="F146" s="627">
        <f>F144+F123</f>
        <v>0</v>
      </c>
      <c r="G146" s="627">
        <f>G144+G123</f>
        <v>0</v>
      </c>
      <c r="H146" s="627">
        <f>H144+H123</f>
        <v>0</v>
      </c>
      <c r="O146" s="359"/>
      <c r="P146"/>
    </row>
    <row r="147" spans="1:16">
      <c r="B147" s="2" t="s">
        <v>280</v>
      </c>
      <c r="C147" s="75" t="s">
        <v>23</v>
      </c>
      <c r="D147" s="648">
        <v>257.7959346144325</v>
      </c>
      <c r="E147" s="648"/>
      <c r="F147" s="648"/>
      <c r="G147" s="648"/>
      <c r="H147" s="648"/>
      <c r="O147"/>
      <c r="P147"/>
    </row>
    <row r="148" spans="1:16">
      <c r="B148" s="2" t="s">
        <v>281</v>
      </c>
      <c r="C148" s="75" t="s">
        <v>194</v>
      </c>
      <c r="D148" s="648">
        <v>0</v>
      </c>
      <c r="E148" s="648"/>
      <c r="F148" s="648"/>
      <c r="G148" s="648"/>
      <c r="H148" s="648"/>
    </row>
    <row r="149" spans="1:16">
      <c r="B149" s="2" t="s">
        <v>282</v>
      </c>
      <c r="C149" s="75" t="s">
        <v>194</v>
      </c>
      <c r="D149" s="599">
        <f>IF(A2="ESO",D148,D147*INDEX(real_to_nominal_CF,MATCH(D6,calendar_year,0)))</f>
        <v>279.65278402958376</v>
      </c>
      <c r="E149" s="599">
        <f>IF(B2="ESO",E148,E147*INDEX(real_to_nominal_CF,MATCH(E6,calendar_year,0)))</f>
        <v>0</v>
      </c>
      <c r="F149" s="599">
        <f>IF(C2="ESO",F148,F147*INDEX(real_to_nominal_CF,MATCH(F6,calendar_year,0)))</f>
        <v>0</v>
      </c>
      <c r="G149" s="599">
        <f>IF(D2="ESO",G148,G147*INDEX(real_to_nominal_CF,MATCH(G6,calendar_year,0)))</f>
        <v>0</v>
      </c>
      <c r="H149" s="599">
        <f>IF(E2="ESO",H148,H147*INDEX(real_to_nominal_CF,MATCH(H6,calendar_year,0)))</f>
        <v>0</v>
      </c>
      <c r="I149"/>
      <c r="O149"/>
      <c r="P149"/>
    </row>
    <row r="150" spans="1:16">
      <c r="B150" s="2"/>
      <c r="C150" s="69" t="s">
        <v>283</v>
      </c>
      <c r="D150" s="216" t="str">
        <f>IF(D$103="Actuals",IF(ABS(D146-D149)&lt;materiality_threshold,"OK","ERROR"),"N/A")</f>
        <v>OK</v>
      </c>
      <c r="E150" s="216" t="str">
        <f>IF(E$103="Actuals",IF(ABS(E146-E149)&lt;materiality_threshold,"OK","ERROR"),"N/A")</f>
        <v>N/A</v>
      </c>
      <c r="F150" s="216" t="str">
        <f>IF(F$103="Actuals",IF(ABS(F146-F149)&lt;materiality_threshold,"OK","ERROR"),"N/A")</f>
        <v>N/A</v>
      </c>
      <c r="G150" s="216" t="str">
        <f>IF(G$103="Actuals",IF(ABS(G146-G149)&lt;materiality_threshold,"OK","ERROR"),"N/A")</f>
        <v>N/A</v>
      </c>
      <c r="H150" s="216" t="str">
        <f>IF(H$103="Actuals",IF(ABS(H146-H149)&lt;materiality_threshold,"OK","ERROR"),"N/A")</f>
        <v>N/A</v>
      </c>
      <c r="O150"/>
      <c r="P150"/>
    </row>
    <row r="151" spans="1:16">
      <c r="B151" s="2" t="s">
        <v>123</v>
      </c>
      <c r="O151"/>
      <c r="P151"/>
    </row>
    <row r="152" spans="1:16">
      <c r="B152" s="5" t="s">
        <v>284</v>
      </c>
      <c r="C152" s="75"/>
    </row>
    <row r="153" spans="1:16">
      <c r="A153" s="3">
        <v>1</v>
      </c>
      <c r="B153" s="379" t="s">
        <v>572</v>
      </c>
      <c r="C153" s="75" t="s">
        <v>194</v>
      </c>
      <c r="D153" s="204">
        <v>39.419655659638707</v>
      </c>
      <c r="E153" s="204"/>
      <c r="F153" s="204"/>
      <c r="G153" s="204"/>
      <c r="H153" s="204"/>
    </row>
    <row r="154" spans="1:16">
      <c r="A154" s="3">
        <v>2</v>
      </c>
      <c r="B154" s="379" t="s">
        <v>573</v>
      </c>
      <c r="C154" s="75" t="s">
        <v>194</v>
      </c>
      <c r="D154" s="206">
        <v>-0.91462248863635498</v>
      </c>
      <c r="E154" s="207"/>
      <c r="F154" s="207"/>
      <c r="G154" s="207"/>
      <c r="H154" s="207"/>
    </row>
    <row r="155" spans="1:16">
      <c r="A155" s="3">
        <v>3</v>
      </c>
      <c r="B155" s="379" t="s">
        <v>574</v>
      </c>
      <c r="C155" s="75" t="s">
        <v>194</v>
      </c>
      <c r="D155" s="206">
        <v>1.2203571100000017</v>
      </c>
      <c r="E155" s="207"/>
      <c r="F155" s="207"/>
      <c r="G155" s="207"/>
      <c r="H155" s="207"/>
    </row>
    <row r="156" spans="1:16">
      <c r="A156" s="3">
        <v>4</v>
      </c>
      <c r="B156" s="379" t="s">
        <v>575</v>
      </c>
      <c r="C156" s="75" t="s">
        <v>194</v>
      </c>
      <c r="D156" s="206">
        <v>0</v>
      </c>
      <c r="E156" s="207"/>
      <c r="F156" s="207"/>
      <c r="G156" s="207"/>
      <c r="H156" s="207"/>
    </row>
    <row r="157" spans="1:16">
      <c r="A157" s="3">
        <v>5</v>
      </c>
      <c r="B157" s="379" t="s">
        <v>561</v>
      </c>
      <c r="C157" s="75" t="s">
        <v>194</v>
      </c>
      <c r="D157" s="206">
        <v>0</v>
      </c>
      <c r="E157" s="207"/>
      <c r="F157" s="207"/>
      <c r="G157" s="207"/>
      <c r="H157" s="207"/>
    </row>
    <row r="158" spans="1:16">
      <c r="A158" s="3">
        <v>6</v>
      </c>
      <c r="B158" s="379" t="s">
        <v>561</v>
      </c>
      <c r="C158" s="75" t="s">
        <v>194</v>
      </c>
      <c r="D158" s="206">
        <v>0</v>
      </c>
      <c r="E158" s="207"/>
      <c r="F158" s="207"/>
      <c r="G158" s="207"/>
      <c r="H158" s="207"/>
    </row>
    <row r="159" spans="1:16">
      <c r="A159" s="3">
        <v>7</v>
      </c>
      <c r="B159" s="379" t="s">
        <v>561</v>
      </c>
      <c r="C159" s="75" t="s">
        <v>194</v>
      </c>
      <c r="D159" s="206">
        <v>0</v>
      </c>
      <c r="E159" s="207"/>
      <c r="F159" s="207"/>
      <c r="G159" s="207"/>
      <c r="H159" s="207"/>
    </row>
    <row r="160" spans="1:16">
      <c r="A160" s="3">
        <v>8</v>
      </c>
      <c r="B160" s="379" t="s">
        <v>561</v>
      </c>
      <c r="C160" s="75" t="s">
        <v>194</v>
      </c>
      <c r="D160" s="206">
        <v>0</v>
      </c>
      <c r="E160" s="207"/>
      <c r="F160" s="207"/>
      <c r="G160" s="207"/>
      <c r="H160" s="207"/>
    </row>
    <row r="161" spans="1:16">
      <c r="A161" s="3">
        <v>9</v>
      </c>
      <c r="B161" s="379" t="s">
        <v>561</v>
      </c>
      <c r="C161" s="75" t="s">
        <v>194</v>
      </c>
      <c r="D161" s="206">
        <v>0</v>
      </c>
      <c r="E161" s="207"/>
      <c r="F161" s="207"/>
      <c r="G161" s="207"/>
      <c r="H161" s="207"/>
    </row>
    <row r="162" spans="1:16">
      <c r="A162" s="3">
        <v>10</v>
      </c>
      <c r="B162" s="379" t="s">
        <v>561</v>
      </c>
      <c r="C162" s="75" t="s">
        <v>194</v>
      </c>
      <c r="D162" s="206">
        <v>0</v>
      </c>
      <c r="E162" s="207"/>
      <c r="F162" s="207"/>
      <c r="G162" s="207"/>
      <c r="H162" s="207"/>
    </row>
    <row r="163" spans="1:16">
      <c r="A163" s="3">
        <v>11</v>
      </c>
      <c r="B163" s="379" t="s">
        <v>561</v>
      </c>
      <c r="C163" s="75" t="s">
        <v>194</v>
      </c>
      <c r="D163" s="206">
        <v>0</v>
      </c>
      <c r="E163" s="207"/>
      <c r="F163" s="207"/>
      <c r="G163" s="207"/>
      <c r="H163" s="207"/>
    </row>
    <row r="164" spans="1:16">
      <c r="A164" s="3">
        <v>12</v>
      </c>
      <c r="B164" s="379" t="s">
        <v>561</v>
      </c>
      <c r="C164" s="75" t="s">
        <v>194</v>
      </c>
      <c r="D164" s="206">
        <v>0</v>
      </c>
      <c r="E164" s="207"/>
      <c r="F164" s="207"/>
      <c r="G164" s="207"/>
      <c r="H164" s="207"/>
    </row>
    <row r="165" spans="1:16">
      <c r="A165" s="3">
        <v>13</v>
      </c>
      <c r="B165" s="379" t="s">
        <v>561</v>
      </c>
      <c r="C165" s="75" t="s">
        <v>194</v>
      </c>
      <c r="D165" s="206">
        <v>0</v>
      </c>
      <c r="E165" s="207"/>
      <c r="F165" s="207"/>
      <c r="G165" s="207"/>
      <c r="H165" s="207"/>
    </row>
    <row r="166" spans="1:16">
      <c r="A166" s="3">
        <v>14</v>
      </c>
      <c r="B166" s="379" t="s">
        <v>561</v>
      </c>
      <c r="C166" s="75" t="s">
        <v>194</v>
      </c>
      <c r="D166" s="206">
        <v>0</v>
      </c>
      <c r="E166" s="207"/>
      <c r="F166" s="207"/>
      <c r="G166" s="207"/>
      <c r="H166" s="207"/>
      <c r="O166"/>
      <c r="P166"/>
    </row>
    <row r="167" spans="1:16">
      <c r="A167" s="3">
        <v>15</v>
      </c>
      <c r="B167" s="379" t="s">
        <v>561</v>
      </c>
      <c r="C167" s="75" t="s">
        <v>194</v>
      </c>
      <c r="D167" s="206">
        <v>0</v>
      </c>
      <c r="E167" s="207"/>
      <c r="F167" s="207"/>
      <c r="G167" s="207"/>
      <c r="H167" s="207"/>
      <c r="O167"/>
      <c r="P167"/>
    </row>
    <row r="168" spans="1:16">
      <c r="A168" s="3">
        <v>16</v>
      </c>
      <c r="B168" s="379" t="s">
        <v>561</v>
      </c>
      <c r="C168" s="75" t="s">
        <v>194</v>
      </c>
      <c r="D168" s="206">
        <v>0</v>
      </c>
      <c r="E168" s="207"/>
      <c r="F168" s="207"/>
      <c r="G168" s="207"/>
      <c r="H168" s="207"/>
      <c r="O168"/>
      <c r="P168"/>
    </row>
    <row r="169" spans="1:16">
      <c r="A169" s="3">
        <v>17</v>
      </c>
      <c r="B169" s="379" t="s">
        <v>561</v>
      </c>
      <c r="C169" s="75" t="s">
        <v>194</v>
      </c>
      <c r="D169" s="206">
        <v>0</v>
      </c>
      <c r="E169" s="207"/>
      <c r="F169" s="207"/>
      <c r="G169" s="207"/>
      <c r="H169" s="207"/>
      <c r="O169"/>
      <c r="P169"/>
    </row>
    <row r="170" spans="1:16">
      <c r="A170" s="3">
        <v>18</v>
      </c>
      <c r="B170" s="379" t="s">
        <v>561</v>
      </c>
      <c r="C170" s="75" t="s">
        <v>194</v>
      </c>
      <c r="D170" s="206">
        <v>0</v>
      </c>
      <c r="E170" s="207"/>
      <c r="F170" s="207"/>
      <c r="G170" s="207"/>
      <c r="H170" s="207"/>
      <c r="O170"/>
      <c r="P170"/>
    </row>
    <row r="171" spans="1:16">
      <c r="A171" s="3">
        <v>19</v>
      </c>
      <c r="B171" s="379" t="s">
        <v>561</v>
      </c>
      <c r="C171" s="75" t="s">
        <v>194</v>
      </c>
      <c r="D171" s="206">
        <v>0</v>
      </c>
      <c r="E171" s="207"/>
      <c r="F171" s="207"/>
      <c r="G171" s="207"/>
      <c r="H171" s="207"/>
      <c r="O171"/>
      <c r="P171"/>
    </row>
    <row r="172" spans="1:16">
      <c r="A172" s="3">
        <v>20</v>
      </c>
      <c r="B172" s="379" t="s">
        <v>561</v>
      </c>
      <c r="C172" s="75" t="s">
        <v>194</v>
      </c>
      <c r="D172" s="206">
        <v>0</v>
      </c>
      <c r="E172" s="207"/>
      <c r="F172" s="207"/>
      <c r="G172" s="207"/>
      <c r="H172" s="207"/>
      <c r="O172"/>
      <c r="P172"/>
    </row>
    <row r="173" spans="1:16">
      <c r="A173" s="3">
        <v>21</v>
      </c>
      <c r="B173" s="379" t="s">
        <v>561</v>
      </c>
      <c r="C173" s="75" t="s">
        <v>194</v>
      </c>
      <c r="D173" s="206">
        <v>0</v>
      </c>
      <c r="E173" s="207"/>
      <c r="F173" s="207"/>
      <c r="G173" s="207"/>
      <c r="H173" s="207"/>
      <c r="O173"/>
      <c r="P173"/>
    </row>
    <row r="174" spans="1:16">
      <c r="A174" s="3">
        <v>22</v>
      </c>
      <c r="B174" s="379" t="s">
        <v>561</v>
      </c>
      <c r="C174" s="75" t="s">
        <v>194</v>
      </c>
      <c r="D174" s="206">
        <v>0</v>
      </c>
      <c r="E174" s="207"/>
      <c r="F174" s="207"/>
      <c r="G174" s="207"/>
      <c r="H174" s="207"/>
      <c r="O174"/>
      <c r="P174"/>
    </row>
    <row r="175" spans="1:16">
      <c r="A175" s="3">
        <v>23</v>
      </c>
      <c r="B175" s="379" t="s">
        <v>561</v>
      </c>
      <c r="C175" s="75" t="s">
        <v>194</v>
      </c>
      <c r="D175" s="206">
        <v>0</v>
      </c>
      <c r="E175" s="207"/>
      <c r="F175" s="207"/>
      <c r="G175" s="207"/>
      <c r="H175" s="207"/>
      <c r="O175"/>
      <c r="P175"/>
    </row>
    <row r="176" spans="1:16">
      <c r="A176" s="3">
        <v>24</v>
      </c>
      <c r="B176" s="379" t="s">
        <v>561</v>
      </c>
      <c r="C176" s="75" t="s">
        <v>194</v>
      </c>
      <c r="D176" s="206">
        <v>0</v>
      </c>
      <c r="E176" s="207"/>
      <c r="F176" s="207"/>
      <c r="G176" s="207"/>
      <c r="H176" s="207"/>
      <c r="O176" s="359"/>
      <c r="P176"/>
    </row>
    <row r="177" spans="1:16">
      <c r="A177" s="3">
        <v>25</v>
      </c>
      <c r="B177" s="379" t="s">
        <v>561</v>
      </c>
      <c r="C177" s="75" t="s">
        <v>194</v>
      </c>
      <c r="D177" s="206">
        <v>0</v>
      </c>
      <c r="E177" s="207"/>
      <c r="F177" s="207"/>
      <c r="G177" s="207"/>
      <c r="H177" s="207"/>
      <c r="O177"/>
      <c r="P177"/>
    </row>
    <row r="178" spans="1:16">
      <c r="B178" s="5" t="s">
        <v>285</v>
      </c>
      <c r="C178" s="75" t="s">
        <v>194</v>
      </c>
      <c r="D178" s="627">
        <f>SUM(D153:D177)</f>
        <v>39.725390281002355</v>
      </c>
      <c r="E178" s="627">
        <v>0</v>
      </c>
      <c r="F178" s="627">
        <v>0</v>
      </c>
      <c r="G178" s="627">
        <v>0</v>
      </c>
      <c r="H178" s="627">
        <v>0</v>
      </c>
      <c r="O178"/>
      <c r="P178"/>
    </row>
    <row r="179" spans="1:16">
      <c r="B179" s="2"/>
      <c r="D179" s="69"/>
      <c r="E179" s="69"/>
      <c r="F179" s="69"/>
      <c r="G179" s="69"/>
      <c r="H179" s="69"/>
      <c r="I179" s="69"/>
      <c r="J179" s="69"/>
      <c r="O179"/>
      <c r="P179"/>
    </row>
    <row r="180" spans="1:16">
      <c r="B180" s="5" t="s">
        <v>286</v>
      </c>
      <c r="C180" s="75" t="s">
        <v>194</v>
      </c>
      <c r="D180" s="627">
        <f>D146-D178</f>
        <v>239.94119321928108</v>
      </c>
      <c r="E180" s="627">
        <f>E146-E176</f>
        <v>0</v>
      </c>
      <c r="F180" s="627">
        <f>F146-F176</f>
        <v>0</v>
      </c>
      <c r="G180" s="627">
        <f>G146-G176</f>
        <v>0</v>
      </c>
      <c r="H180" s="627">
        <f>H146-H176</f>
        <v>0</v>
      </c>
    </row>
    <row r="181" spans="1:16">
      <c r="B181" s="5" t="s">
        <v>287</v>
      </c>
      <c r="C181" s="75" t="s">
        <v>194</v>
      </c>
      <c r="D181" s="628">
        <f>('R3 - Totex - Reconciliation'!D$13+'R3 - Totex - Reconciliation'!D$42+'R3 - Totex - Reconciliation'!D71)*INDEX(real_to_nominal_CF,MATCH(D$104,calendar_year,0))</f>
        <v>239.92645109700521</v>
      </c>
      <c r="E181" s="628">
        <f>('R3 - Totex - Reconciliation'!E$13+'R3 - Totex - Reconciliation'!E$42+'R3 - Totex - Reconciliation'!E71)*INDEX(real_to_nominal_CF,MATCH(E$104,calendar_year,0))</f>
        <v>438.05382076951275</v>
      </c>
      <c r="F181" s="628">
        <f>('R3 - Totex - Reconciliation'!F$13+'R3 - Totex - Reconciliation'!F$42+'R3 - Totex - Reconciliation'!F71)*INDEX(real_to_nominal_CF,MATCH(F$104,calendar_year,0))</f>
        <v>515.23359363793418</v>
      </c>
      <c r="G181" s="628">
        <f>('R3 - Totex - Reconciliation'!G$13+'R3 - Totex - Reconciliation'!G$42+'R3 - Totex - Reconciliation'!G71)*INDEX(real_to_nominal_CF,MATCH(G$104,calendar_year,0))</f>
        <v>571.35353532887041</v>
      </c>
      <c r="H181" s="658">
        <f>('R3 - Totex - Reconciliation'!H$13+'R3 - Totex - Reconciliation'!H$42+'R3 - Totex - Reconciliation'!H71)*INDEX(real_to_nominal_CF,MATCH(H$104,calendar_year,0))</f>
        <v>644.11740420753745</v>
      </c>
    </row>
    <row r="182" spans="1:16">
      <c r="B182" s="2"/>
      <c r="C182" s="69" t="s">
        <v>283</v>
      </c>
      <c r="D182" s="197" t="str">
        <f>IF(D$103="Actuals",IF(ABS(D180-('R3 - Totex - Reconciliation'!D13+'R3 - Totex - Reconciliation'!D42+D71)*INDEX(real_to_nominal_CF,MATCH(D6,Data!$E$25:$L$25,0)))&lt;materiality_threshold,"OK","Error"),"N/A")</f>
        <v>OK</v>
      </c>
      <c r="E182" s="197" t="str">
        <f>IF(E$103="Actuals",IF(ABS(E178-('R3 - Totex - Reconciliation'!E13+'R3 - Totex - Reconciliation'!E42+E71)*INDEX(real_to_nominal_CF,MATCH(E6,Data!$E$25:$L$25,0)))&lt;materiality_threshold,"OK","Error"),"N/A")</f>
        <v>N/A</v>
      </c>
      <c r="F182" s="197" t="str">
        <f>IF(F$103="Actuals",IF(ABS(F178-('R3 - Totex - Reconciliation'!F13+'R3 - Totex - Reconciliation'!F42+F71)*INDEX(real_to_nominal_CF,MATCH(F6,Data!$E$25:$L$25,0)))&lt;materiality_threshold,"OK","Error"),"N/A")</f>
        <v>N/A</v>
      </c>
      <c r="G182" s="197" t="str">
        <f>IF(G$103="Actuals",IF(ABS(G178-('R3 - Totex - Reconciliation'!G13+'R3 - Totex - Reconciliation'!G42+G71)*INDEX(real_to_nominal_CF,MATCH(G6,Data!$E$25:$L$25,0)))&lt;materiality_threshold,"OK","Error"),"N/A")</f>
        <v>N/A</v>
      </c>
      <c r="H182" s="197" t="str">
        <f>IF(H$103="Actuals",IF(ABS(H178-('R3 - Totex - Reconciliation'!H13+'R3 - Totex - Reconciliation'!H42+H71)*INDEX(real_to_nominal_CF,MATCH(H6,Data!$E$25:$L$25,0)))&lt;materiality_threshold,"OK","Error"),"N/A")</f>
        <v>N/A</v>
      </c>
    </row>
    <row r="183" spans="1:16">
      <c r="B183" s="2"/>
      <c r="C183" s="2"/>
    </row>
    <row r="184" spans="1:16">
      <c r="B184" s="359" t="s">
        <v>288</v>
      </c>
    </row>
    <row r="186" spans="1:16">
      <c r="B186" s="6" t="s">
        <v>236</v>
      </c>
      <c r="C186"/>
      <c r="D186"/>
      <c r="E186"/>
      <c r="F186"/>
    </row>
    <row r="187" spans="1:16">
      <c r="B187" s="736">
        <v>0</v>
      </c>
      <c r="C187" s="745">
        <v>0</v>
      </c>
      <c r="D187" s="745">
        <v>0</v>
      </c>
      <c r="E187" s="745">
        <v>0</v>
      </c>
      <c r="F187" s="746">
        <v>0</v>
      </c>
    </row>
    <row r="188" spans="1:16">
      <c r="B188" s="365"/>
      <c r="C188" s="366"/>
      <c r="D188" s="367"/>
      <c r="E188" s="343"/>
      <c r="F188" s="368"/>
    </row>
    <row r="189" spans="1:16">
      <c r="B189" s="365"/>
      <c r="C189" s="366"/>
      <c r="D189" s="367"/>
      <c r="E189" s="343"/>
      <c r="F189" s="368"/>
    </row>
    <row r="190" spans="1:16">
      <c r="B190" s="365"/>
      <c r="C190" s="366"/>
      <c r="D190" s="367"/>
      <c r="E190" s="343"/>
      <c r="F190" s="368"/>
    </row>
    <row r="191" spans="1:16">
      <c r="B191" s="365"/>
      <c r="C191" s="366"/>
      <c r="D191" s="367"/>
      <c r="E191" s="343"/>
      <c r="F191" s="368"/>
      <c r="O191"/>
      <c r="P191"/>
    </row>
    <row r="192" spans="1:16">
      <c r="B192" s="369"/>
      <c r="C192" s="576"/>
      <c r="D192" s="577"/>
      <c r="E192" s="578"/>
      <c r="F192" s="370"/>
    </row>
    <row r="209" spans="2:3">
      <c r="B209" s="2"/>
      <c r="C209" s="2"/>
    </row>
    <row r="210" spans="2:3">
      <c r="B210" s="2"/>
      <c r="C210" s="2"/>
    </row>
    <row r="211" spans="2:3">
      <c r="B211" s="2"/>
      <c r="C211" s="2"/>
    </row>
    <row r="212" spans="2:3">
      <c r="B212" s="2"/>
      <c r="C212" s="2"/>
    </row>
    <row r="213" spans="2:3">
      <c r="B213" s="2"/>
      <c r="C213" s="2"/>
    </row>
    <row r="214" spans="2:3">
      <c r="B214" s="2"/>
      <c r="C214" s="2"/>
    </row>
    <row r="215" spans="2:3">
      <c r="B215" s="2"/>
      <c r="C215" s="2"/>
    </row>
    <row r="216" spans="2:3">
      <c r="B216" s="2"/>
      <c r="C216" s="2"/>
    </row>
    <row r="220" spans="2:3" ht="12.75" customHeight="1"/>
    <row r="227" ht="29.25" customHeight="1"/>
  </sheetData>
  <mergeCells count="2">
    <mergeCell ref="K15:M15"/>
    <mergeCell ref="B187:F187"/>
  </mergeCells>
  <phoneticPr fontId="250" type="noConversion"/>
  <conditionalFormatting sqref="I5 D5:G6">
    <cfRule type="expression" dxfId="70" priority="71">
      <formula>AND(D$5="Actuals",E$5="Forecast")</formula>
    </cfRule>
  </conditionalFormatting>
  <conditionalFormatting sqref="B92:C92 C40 C69 B68:C68 B41:C49 B70:C79 N68:Q68">
    <cfRule type="expression" dxfId="69" priority="67">
      <formula>$B$40="n/a"</formula>
    </cfRule>
  </conditionalFormatting>
  <conditionalFormatting sqref="D103:G104">
    <cfRule type="expression" dxfId="68" priority="63">
      <formula>AND(D$5="Actuals",E$5="N/A")</formula>
    </cfRule>
  </conditionalFormatting>
  <conditionalFormatting sqref="H5:H6">
    <cfRule type="expression" dxfId="67" priority="272">
      <formula>AND(H$5="Actuals",#REF!="Forecast")</formula>
    </cfRule>
  </conditionalFormatting>
  <conditionalFormatting sqref="H103:H104">
    <cfRule type="expression" dxfId="66" priority="289">
      <formula>AND(H$5="Actuals",#REF!="N/A")</formula>
    </cfRule>
  </conditionalFormatting>
  <conditionalFormatting sqref="D7:H7">
    <cfRule type="expression" dxfId="65" priority="56">
      <formula>AND(D$5="Actuals",E$5="Forecast")</formula>
    </cfRule>
  </conditionalFormatting>
  <conditionalFormatting sqref="D105:H105">
    <cfRule type="expression" dxfId="64" priority="55">
      <formula>AND(D$5="Actuals",E$5="Forecast")</formula>
    </cfRule>
  </conditionalFormatting>
  <conditionalFormatting sqref="D108:H116 D118:H121 D151:H175 D127:H133 D136:H142">
    <cfRule type="expression" dxfId="63" priority="53">
      <formula>D$103="N/A"</formula>
    </cfRule>
  </conditionalFormatting>
  <conditionalFormatting sqref="C23:C24">
    <cfRule type="expression" dxfId="62" priority="52">
      <formula>$B$40="n/a"</formula>
    </cfRule>
  </conditionalFormatting>
  <conditionalFormatting sqref="C52:C53">
    <cfRule type="expression" dxfId="61" priority="51">
      <formula>$B$40="n/a"</formula>
    </cfRule>
  </conditionalFormatting>
  <conditionalFormatting sqref="C25">
    <cfRule type="expression" dxfId="60" priority="50">
      <formula>$B$40="n/a"</formula>
    </cfRule>
  </conditionalFormatting>
  <conditionalFormatting sqref="C54">
    <cfRule type="expression" dxfId="59" priority="49">
      <formula>$B$40="n/a"</formula>
    </cfRule>
  </conditionalFormatting>
  <conditionalFormatting sqref="C81:C82">
    <cfRule type="expression" dxfId="58" priority="48">
      <formula>$B$40="n/a"</formula>
    </cfRule>
  </conditionalFormatting>
  <conditionalFormatting sqref="C83">
    <cfRule type="expression" dxfId="57" priority="47">
      <formula>$B$40="n/a"</formula>
    </cfRule>
  </conditionalFormatting>
  <conditionalFormatting sqref="B35">
    <cfRule type="expression" dxfId="56" priority="46">
      <formula>$B$46="n/a"</formula>
    </cfRule>
  </conditionalFormatting>
  <conditionalFormatting sqref="B64">
    <cfRule type="expression" dxfId="55" priority="45">
      <formula>$B$46="n/a"</formula>
    </cfRule>
  </conditionalFormatting>
  <conditionalFormatting sqref="B88">
    <cfRule type="expression" dxfId="54" priority="44">
      <formula>$B$46="n/a"</formula>
    </cfRule>
  </conditionalFormatting>
  <conditionalFormatting sqref="E117:H117">
    <cfRule type="expression" dxfId="53" priority="43">
      <formula>E$103="N/A"</formula>
    </cfRule>
  </conditionalFormatting>
  <conditionalFormatting sqref="D122:H123">
    <cfRule type="expression" dxfId="52" priority="25">
      <formula>D$103="N/A"</formula>
    </cfRule>
  </conditionalFormatting>
  <conditionalFormatting sqref="D144:H144">
    <cfRule type="expression" dxfId="51" priority="24">
      <formula>D$103="N/A"</formula>
    </cfRule>
  </conditionalFormatting>
  <conditionalFormatting sqref="D146:H146">
    <cfRule type="expression" dxfId="50" priority="23">
      <formula>D$103="N/A"</formula>
    </cfRule>
  </conditionalFormatting>
  <conditionalFormatting sqref="D176:H177">
    <cfRule type="expression" dxfId="49" priority="22">
      <formula>D$103="N/A"</formula>
    </cfRule>
  </conditionalFormatting>
  <conditionalFormatting sqref="E178:H178">
    <cfRule type="expression" dxfId="48" priority="21">
      <formula>E$103="N/A"</formula>
    </cfRule>
  </conditionalFormatting>
  <conditionalFormatting sqref="D147:H148">
    <cfRule type="expression" dxfId="47" priority="16">
      <formula>D$103="N/A"</formula>
    </cfRule>
  </conditionalFormatting>
  <conditionalFormatting sqref="D134:H134">
    <cfRule type="expression" dxfId="46" priority="11">
      <formula>D$103="N/A"</formula>
    </cfRule>
  </conditionalFormatting>
  <conditionalFormatting sqref="D143:H143">
    <cfRule type="expression" dxfId="45" priority="10">
      <formula>D$103="N/A"</formula>
    </cfRule>
  </conditionalFormatting>
  <conditionalFormatting sqref="C32:C33">
    <cfRule type="expression" dxfId="44" priority="8">
      <formula>$B$39="n/a"</formula>
    </cfRule>
  </conditionalFormatting>
  <conditionalFormatting sqref="C61:C62">
    <cfRule type="expression" dxfId="43" priority="7">
      <formula>$B$39="n/a"</formula>
    </cfRule>
  </conditionalFormatting>
  <conditionalFormatting sqref="C85:C86">
    <cfRule type="expression" dxfId="42" priority="6">
      <formula>$B$39="n/a"</formula>
    </cfRule>
  </conditionalFormatting>
  <conditionalFormatting sqref="C28:C29">
    <cfRule type="expression" dxfId="41" priority="4">
      <formula>$B$40="n/a"</formula>
    </cfRule>
  </conditionalFormatting>
  <conditionalFormatting sqref="C30">
    <cfRule type="expression" dxfId="40" priority="3">
      <formula>$B$40="n/a"</formula>
    </cfRule>
  </conditionalFormatting>
  <conditionalFormatting sqref="C57:C58">
    <cfRule type="expression" dxfId="39" priority="2">
      <formula>$B$40="n/a"</formula>
    </cfRule>
  </conditionalFormatting>
  <conditionalFormatting sqref="C59">
    <cfRule type="expression" dxfId="38" priority="1">
      <formula>$B$40="n/a"</formula>
    </cfRule>
  </conditionalFormatting>
  <pageMargins left="0.70866141732283472" right="0.70866141732283472" top="0.74803149606299213" bottom="0.74803149606299213" header="0.31496062992125984" footer="0.31496062992125984"/>
  <pageSetup paperSize="8" scale="53" orientation="landscape" r:id="rId1"/>
  <headerFooter>
    <oddFooter>&amp;C&amp;"Calibri"&amp;11&amp;K000000_x000D_&amp;1#&amp;"Calibri"&amp;12&amp;K008000Internal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Normal="100" workbookViewId="0">
      <pane ySplit="7" topLeftCell="A8" activePane="bottomLeft" state="frozen"/>
      <selection pane="bottomLeft" activeCell="B2" sqref="B2"/>
    </sheetView>
  </sheetViews>
  <sheetFormatPr defaultRowHeight="12.75"/>
  <cols>
    <col min="1" max="1" width="8.375" customWidth="1"/>
    <col min="2" max="2" width="71.375" bestFit="1" customWidth="1"/>
    <col min="3" max="3" width="13.375" style="69" customWidth="1"/>
    <col min="4" max="8" width="11.125" customWidth="1"/>
    <col min="9" max="9" width="12.875" customWidth="1"/>
    <col min="10" max="10" width="12.75" customWidth="1"/>
    <col min="11" max="11" width="5.75" bestFit="1" customWidth="1"/>
  </cols>
  <sheetData>
    <row r="1" spans="1:11" ht="20.25">
      <c r="A1" s="685" t="s">
        <v>289</v>
      </c>
      <c r="B1" s="408"/>
      <c r="C1" s="409"/>
      <c r="D1" s="410"/>
      <c r="E1" s="410"/>
      <c r="F1" s="410"/>
      <c r="G1" s="410"/>
      <c r="H1" s="410"/>
      <c r="I1" s="402"/>
      <c r="J1" s="402"/>
      <c r="K1" s="684"/>
    </row>
    <row r="2" spans="1:11" ht="20.25">
      <c r="A2" s="299" t="str">
        <f>Licensee</f>
        <v>SPT</v>
      </c>
      <c r="B2" s="303"/>
      <c r="C2" s="76"/>
      <c r="D2" s="20"/>
      <c r="E2" s="20"/>
      <c r="F2" s="20"/>
      <c r="G2" s="20"/>
      <c r="H2" s="20"/>
      <c r="I2" s="15"/>
      <c r="J2" s="15"/>
      <c r="K2" s="65"/>
    </row>
    <row r="3" spans="1:11" ht="20.25">
      <c r="A3" s="294">
        <f>Reporting_Year</f>
        <v>2022</v>
      </c>
      <c r="B3" s="16" t="str">
        <f>IF(Licensee=Data!$B$81,"not required to be completed","")</f>
        <v/>
      </c>
      <c r="C3" s="580"/>
      <c r="D3" s="581"/>
      <c r="E3" s="581"/>
      <c r="F3" s="581"/>
      <c r="G3" s="581"/>
      <c r="H3" s="581"/>
      <c r="I3" s="572"/>
      <c r="J3" s="572"/>
      <c r="K3" s="119"/>
    </row>
    <row r="4" spans="1:11" s="2" customFormat="1" ht="12.75" customHeight="1">
      <c r="B4" s="3"/>
      <c r="C4" s="69"/>
    </row>
    <row r="5" spans="1:11" s="2" customFormat="1" ht="21.6" customHeight="1">
      <c r="B5" s="3"/>
      <c r="C5" s="69"/>
      <c r="D5" s="153" t="str">
        <f t="shared" ref="D5:I5" si="0">IF(D6&lt;=Reporting_Year,"Actuals","Forecast")</f>
        <v>Actuals</v>
      </c>
      <c r="E5" s="153" t="str">
        <f t="shared" si="0"/>
        <v>Forecast</v>
      </c>
      <c r="F5" s="153" t="str">
        <f t="shared" si="0"/>
        <v>Forecast</v>
      </c>
      <c r="G5" s="153" t="str">
        <f t="shared" si="0"/>
        <v>Forecast</v>
      </c>
      <c r="H5" s="153" t="str">
        <f t="shared" si="0"/>
        <v>Forecast</v>
      </c>
      <c r="I5" s="153"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155</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8">
      <c r="B8" s="450" t="s">
        <v>290</v>
      </c>
      <c r="C8" s="73"/>
      <c r="D8" s="40"/>
      <c r="E8" s="40"/>
      <c r="F8" s="40"/>
      <c r="G8" s="40"/>
      <c r="H8" s="40"/>
      <c r="I8" s="40"/>
      <c r="J8" s="40"/>
      <c r="K8" s="40"/>
    </row>
    <row r="9" spans="1:11" s="2" customFormat="1"/>
    <row r="10" spans="1:11" s="2" customFormat="1"/>
    <row r="11" spans="1:11" s="2" customFormat="1"/>
    <row r="12" spans="1:11" s="2" customFormat="1">
      <c r="A12" s="78" t="s">
        <v>159</v>
      </c>
      <c r="B12" s="5" t="s">
        <v>291</v>
      </c>
      <c r="C12" s="38" t="str">
        <f>Data!$C$9</f>
        <v>£m 18/19</v>
      </c>
      <c r="D12" s="650">
        <v>1</v>
      </c>
      <c r="E12" s="650">
        <v>1</v>
      </c>
      <c r="F12" s="650">
        <v>1</v>
      </c>
      <c r="G12" s="650">
        <v>1</v>
      </c>
      <c r="H12" s="650">
        <v>1</v>
      </c>
    </row>
    <row r="13" spans="1:11" s="2" customFormat="1" ht="19.5" customHeight="1">
      <c r="A13" s="78"/>
      <c r="B13" s="337" t="s">
        <v>292</v>
      </c>
    </row>
    <row r="14" spans="1:11" s="2" customFormat="1">
      <c r="A14" s="78" t="s">
        <v>160</v>
      </c>
      <c r="B14" s="512" t="str">
        <f>Data!B124</f>
        <v xml:space="preserve">Energy not supplied ODI </v>
      </c>
      <c r="C14" s="38" t="str">
        <f>Data!$C$9</f>
        <v>£m 18/19</v>
      </c>
      <c r="D14" s="582">
        <v>1.3368199208</v>
      </c>
      <c r="E14" s="582">
        <v>1.148286776</v>
      </c>
      <c r="F14" s="582">
        <v>1.148286776</v>
      </c>
      <c r="G14" s="582">
        <v>1.148286776</v>
      </c>
      <c r="H14" s="582">
        <v>1.148286776</v>
      </c>
    </row>
    <row r="15" spans="1:11" s="2" customFormat="1">
      <c r="A15" s="78" t="s">
        <v>161</v>
      </c>
      <c r="B15" s="512" t="str">
        <f>Data!B125</f>
        <v xml:space="preserve">Insulation And Interruption Gas emissions ODI </v>
      </c>
      <c r="C15" s="38" t="str">
        <f>Data!$C$9</f>
        <v>£m 18/19</v>
      </c>
      <c r="D15" s="582">
        <v>1.1276952247973082</v>
      </c>
      <c r="E15" s="582">
        <v>1.2692001479591251</v>
      </c>
      <c r="F15" s="582">
        <v>1.3069698188924486</v>
      </c>
      <c r="G15" s="582">
        <v>1.333692647556036</v>
      </c>
      <c r="H15" s="582">
        <v>1.2663558927498499</v>
      </c>
    </row>
    <row r="16" spans="1:11" s="2" customFormat="1">
      <c r="A16" s="78" t="s">
        <v>162</v>
      </c>
      <c r="B16" s="512" t="str">
        <f>Data!B126</f>
        <v xml:space="preserve">Timely Connections ODI </v>
      </c>
      <c r="C16" s="38" t="str">
        <f>Data!$C$9</f>
        <v>£m 18/19</v>
      </c>
      <c r="D16" s="582">
        <v>0</v>
      </c>
      <c r="E16" s="582">
        <v>0</v>
      </c>
      <c r="F16" s="582">
        <v>0</v>
      </c>
      <c r="G16" s="582">
        <v>0</v>
      </c>
      <c r="H16" s="582">
        <v>0</v>
      </c>
    </row>
    <row r="17" spans="1:11" s="2" customFormat="1">
      <c r="A17" s="78" t="s">
        <v>163</v>
      </c>
      <c r="B17" s="512" t="str">
        <f>Data!B127</f>
        <v xml:space="preserve">Quality of connections satisfaction survey ODI </v>
      </c>
      <c r="C17" s="38" t="str">
        <f>Data!$C$9</f>
        <v>£m 18/19</v>
      </c>
      <c r="D17" s="582">
        <v>0.38012976860537828</v>
      </c>
      <c r="E17" s="582">
        <v>0.91107692307692301</v>
      </c>
      <c r="F17" s="582">
        <v>1.1894615384615368</v>
      </c>
      <c r="G17" s="582">
        <v>1.4045769230769238</v>
      </c>
      <c r="H17" s="582">
        <v>1.6196923076923082</v>
      </c>
    </row>
    <row r="18" spans="1:11" s="2" customFormat="1">
      <c r="A18" s="78" t="s">
        <v>164</v>
      </c>
      <c r="B18" s="512" t="str">
        <f>Data!B128</f>
        <v>SO-TO Optimisation ODI</v>
      </c>
      <c r="C18" s="38" t="str">
        <f>Data!$C$9</f>
        <v>£m 18/19</v>
      </c>
      <c r="D18" s="582">
        <v>0.39840000000000003</v>
      </c>
      <c r="E18" s="582">
        <v>2.5</v>
      </c>
      <c r="F18" s="582">
        <v>0</v>
      </c>
      <c r="G18" s="582">
        <v>0</v>
      </c>
      <c r="H18" s="582">
        <v>0</v>
      </c>
    </row>
    <row r="19" spans="1:11" s="2" customFormat="1">
      <c r="A19" s="78" t="s">
        <v>165</v>
      </c>
      <c r="B19" s="512" t="str">
        <f>Data!B129</f>
        <v xml:space="preserve">Environmental scorecard ODI </v>
      </c>
      <c r="C19" s="38" t="str">
        <f>Data!$C$9</f>
        <v>£m 18/19</v>
      </c>
      <c r="D19" s="582">
        <v>0</v>
      </c>
      <c r="E19" s="582">
        <v>0</v>
      </c>
      <c r="F19" s="582">
        <v>0</v>
      </c>
      <c r="G19" s="582">
        <v>0</v>
      </c>
      <c r="H19" s="582">
        <v>0</v>
      </c>
    </row>
    <row r="20" spans="1:11" s="2" customFormat="1">
      <c r="B20" s="5" t="s">
        <v>293</v>
      </c>
      <c r="C20" s="77" t="str">
        <f>Data!$C$9</f>
        <v>£m 18/19</v>
      </c>
      <c r="D20" s="211">
        <f>SUM(D14:D19)</f>
        <v>3.2430449142026863</v>
      </c>
      <c r="E20" s="211">
        <f>SUM(E14:E19)</f>
        <v>5.8285638470360475</v>
      </c>
      <c r="F20" s="211">
        <f>SUM(F14:F19)</f>
        <v>3.6447181333539853</v>
      </c>
      <c r="G20" s="211">
        <f>SUM(G14:G19)</f>
        <v>3.8865563466329598</v>
      </c>
      <c r="H20" s="211">
        <f>SUM(H14:H19)</f>
        <v>4.0343349764421585</v>
      </c>
    </row>
    <row r="21" spans="1:11" s="2" customFormat="1"/>
    <row r="22" spans="1:11" s="192" customFormat="1" ht="14.25" customHeight="1">
      <c r="A22" s="191"/>
    </row>
    <row r="23" spans="1:11" s="2" customFormat="1">
      <c r="A23" s="420"/>
      <c r="B23" s="421" t="s">
        <v>294</v>
      </c>
      <c r="C23" s="422"/>
      <c r="D23" s="422"/>
      <c r="E23" s="422"/>
      <c r="F23" s="422"/>
      <c r="G23" s="422"/>
      <c r="H23" s="422"/>
      <c r="I23" s="422"/>
      <c r="J23" s="422"/>
    </row>
    <row r="24" spans="1:11" s="2" customFormat="1">
      <c r="A24" s="423" t="s">
        <v>159</v>
      </c>
      <c r="B24" s="747" t="s">
        <v>589</v>
      </c>
      <c r="C24" s="747">
        <v>0</v>
      </c>
      <c r="D24" s="747">
        <v>0</v>
      </c>
      <c r="E24" s="747">
        <v>0</v>
      </c>
      <c r="F24" s="747">
        <v>0</v>
      </c>
      <c r="G24" s="747">
        <v>0</v>
      </c>
      <c r="H24" s="747">
        <v>0</v>
      </c>
      <c r="I24" s="747">
        <v>0</v>
      </c>
      <c r="J24" s="747">
        <v>0</v>
      </c>
    </row>
    <row r="25" spans="1:11" s="2" customFormat="1">
      <c r="A25" s="423" t="s">
        <v>160</v>
      </c>
      <c r="B25" s="747" t="s">
        <v>589</v>
      </c>
      <c r="C25" s="747">
        <v>0</v>
      </c>
      <c r="D25" s="747">
        <v>0</v>
      </c>
      <c r="E25" s="747">
        <v>0</v>
      </c>
      <c r="F25" s="747">
        <v>0</v>
      </c>
      <c r="G25" s="747">
        <v>0</v>
      </c>
      <c r="H25" s="747">
        <v>0</v>
      </c>
      <c r="I25" s="747">
        <v>0</v>
      </c>
      <c r="J25" s="747">
        <v>0</v>
      </c>
    </row>
    <row r="26" spans="1:11" s="2" customFormat="1">
      <c r="A26" s="423" t="s">
        <v>161</v>
      </c>
      <c r="B26" s="747" t="s">
        <v>589</v>
      </c>
      <c r="C26" s="747">
        <v>0</v>
      </c>
      <c r="D26" s="747">
        <v>0</v>
      </c>
      <c r="E26" s="747">
        <v>0</v>
      </c>
      <c r="F26" s="747">
        <v>0</v>
      </c>
      <c r="G26" s="747">
        <v>0</v>
      </c>
      <c r="H26" s="747">
        <v>0</v>
      </c>
      <c r="I26" s="747">
        <v>0</v>
      </c>
      <c r="J26" s="747">
        <v>0</v>
      </c>
    </row>
    <row r="27" spans="1:11" s="2" customFormat="1">
      <c r="A27" s="423" t="s">
        <v>162</v>
      </c>
      <c r="B27" s="747" t="s">
        <v>589</v>
      </c>
      <c r="C27" s="747">
        <v>0</v>
      </c>
      <c r="D27" s="747">
        <v>0</v>
      </c>
      <c r="E27" s="747">
        <v>0</v>
      </c>
      <c r="F27" s="747">
        <v>0</v>
      </c>
      <c r="G27" s="747">
        <v>0</v>
      </c>
      <c r="H27" s="747">
        <v>0</v>
      </c>
      <c r="I27" s="747">
        <v>0</v>
      </c>
      <c r="J27" s="747">
        <v>0</v>
      </c>
    </row>
    <row r="28" spans="1:11" s="2" customFormat="1">
      <c r="A28" s="423" t="s">
        <v>163</v>
      </c>
      <c r="B28" s="747" t="s">
        <v>589</v>
      </c>
      <c r="C28" s="747">
        <v>0</v>
      </c>
      <c r="D28" s="747">
        <v>0</v>
      </c>
      <c r="E28" s="747">
        <v>0</v>
      </c>
      <c r="F28" s="747">
        <v>0</v>
      </c>
      <c r="G28" s="747">
        <v>0</v>
      </c>
      <c r="H28" s="747">
        <v>0</v>
      </c>
      <c r="I28" s="747">
        <v>0</v>
      </c>
      <c r="J28" s="747">
        <v>0</v>
      </c>
    </row>
    <row r="29" spans="1:11" s="2" customFormat="1">
      <c r="A29" s="423" t="s">
        <v>164</v>
      </c>
      <c r="B29" s="747" t="s">
        <v>589</v>
      </c>
      <c r="C29" s="747">
        <v>0</v>
      </c>
      <c r="D29" s="747">
        <v>0</v>
      </c>
      <c r="E29" s="747">
        <v>0</v>
      </c>
      <c r="F29" s="747">
        <v>0</v>
      </c>
      <c r="G29" s="747">
        <v>0</v>
      </c>
      <c r="H29" s="747">
        <v>0</v>
      </c>
      <c r="I29" s="747">
        <v>0</v>
      </c>
      <c r="J29" s="747">
        <v>0</v>
      </c>
    </row>
    <row r="30" spans="1:11" s="2" customFormat="1">
      <c r="A30" s="423" t="s">
        <v>165</v>
      </c>
      <c r="B30" s="747" t="s">
        <v>589</v>
      </c>
      <c r="C30" s="747">
        <v>0</v>
      </c>
      <c r="D30" s="747">
        <v>0</v>
      </c>
      <c r="E30" s="747">
        <v>0</v>
      </c>
      <c r="F30" s="747">
        <v>0</v>
      </c>
      <c r="G30" s="747">
        <v>0</v>
      </c>
      <c r="H30" s="747">
        <v>0</v>
      </c>
      <c r="I30" s="747">
        <v>0</v>
      </c>
      <c r="J30" s="747">
        <v>0</v>
      </c>
    </row>
    <row r="31" spans="1:11" s="2" customFormat="1">
      <c r="A31" s="78"/>
      <c r="C31" s="38"/>
      <c r="D31" s="38"/>
      <c r="E31" s="38"/>
      <c r="F31" s="38"/>
      <c r="G31" s="38"/>
      <c r="H31" s="38"/>
      <c r="I31" s="38"/>
      <c r="J31" s="38"/>
    </row>
    <row r="32" spans="1:11" s="2" customFormat="1" ht="21">
      <c r="B32" s="450" t="s">
        <v>295</v>
      </c>
      <c r="C32" s="73"/>
      <c r="D32" s="40"/>
      <c r="E32" s="40"/>
      <c r="F32" s="40"/>
      <c r="G32" s="40"/>
      <c r="H32" s="40"/>
      <c r="I32" s="40"/>
      <c r="J32" s="40"/>
      <c r="K32" s="40"/>
    </row>
    <row r="33" spans="1:11" s="2" customFormat="1">
      <c r="A33" s="5"/>
      <c r="C33" s="69"/>
    </row>
    <row r="34" spans="1:11">
      <c r="B34" s="469" t="s">
        <v>296</v>
      </c>
    </row>
    <row r="35" spans="1:11">
      <c r="B35" s="5"/>
    </row>
    <row r="36" spans="1:11" s="2" customFormat="1">
      <c r="A36" s="1" t="s">
        <v>166</v>
      </c>
      <c r="B36" s="5" t="s">
        <v>114</v>
      </c>
      <c r="C36" s="70"/>
      <c r="D36" s="29"/>
      <c r="E36" s="29"/>
      <c r="F36" s="29"/>
      <c r="G36" s="29"/>
      <c r="H36" s="29"/>
    </row>
    <row r="37" spans="1:11" s="2" customFormat="1">
      <c r="B37" s="66" t="s">
        <v>297</v>
      </c>
      <c r="C37" s="38" t="str">
        <f>Data!$C$9</f>
        <v>£m 18/19</v>
      </c>
      <c r="D37" s="312">
        <v>1.1692159981325714</v>
      </c>
      <c r="E37" s="312">
        <v>3.0062832439217528</v>
      </c>
      <c r="F37" s="312">
        <v>3.3741369460036581</v>
      </c>
      <c r="G37" s="312">
        <v>3.3741369460036581</v>
      </c>
      <c r="H37" s="312">
        <v>4.0434332777788251</v>
      </c>
      <c r="I37" s="2" t="s">
        <v>298</v>
      </c>
    </row>
    <row r="38" spans="1:11" s="2" customFormat="1">
      <c r="B38" s="66" t="s">
        <v>299</v>
      </c>
      <c r="C38" s="38" t="str">
        <f>Data!$C$9</f>
        <v>£m 18/19</v>
      </c>
      <c r="D38" s="649">
        <v>0</v>
      </c>
      <c r="E38" s="428">
        <v>0</v>
      </c>
      <c r="F38" s="428">
        <v>0</v>
      </c>
      <c r="G38" s="428">
        <v>0</v>
      </c>
      <c r="H38" s="428">
        <v>0</v>
      </c>
    </row>
    <row r="39" spans="1:11" s="2" customFormat="1">
      <c r="B39" s="66" t="s">
        <v>300</v>
      </c>
      <c r="C39" s="38" t="str">
        <f>Data!$C$9</f>
        <v>£m 18/19</v>
      </c>
      <c r="D39" s="204">
        <v>0.11692159981325714</v>
      </c>
      <c r="E39" s="204">
        <v>0.30062832439217529</v>
      </c>
      <c r="F39" s="204">
        <v>0.33741369460036585</v>
      </c>
      <c r="G39" s="204">
        <v>0.33741369460036585</v>
      </c>
      <c r="H39" s="204">
        <v>0.40434332777788251</v>
      </c>
    </row>
    <row r="40" spans="1:11" s="5" customFormat="1">
      <c r="B40" s="2" t="s">
        <v>301</v>
      </c>
      <c r="C40" s="38" t="str">
        <f>Data!$C$9</f>
        <v>£m 18/19</v>
      </c>
      <c r="D40" s="211">
        <f>D37-D38-D39</f>
        <v>1.0522943983193143</v>
      </c>
      <c r="E40" s="212">
        <f t="shared" ref="E40:H40" si="2">E37-E38-E39</f>
        <v>2.7056549195295774</v>
      </c>
      <c r="F40" s="212">
        <f t="shared" si="2"/>
        <v>3.0367232514032922</v>
      </c>
      <c r="G40" s="212">
        <f t="shared" si="2"/>
        <v>3.0367232514032922</v>
      </c>
      <c r="H40" s="212">
        <f t="shared" si="2"/>
        <v>3.6390899500009426</v>
      </c>
      <c r="I40" s="2"/>
      <c r="J40" s="2"/>
      <c r="K40" s="2"/>
    </row>
    <row r="41" spans="1:11" s="2" customFormat="1">
      <c r="A41" s="3"/>
      <c r="B41" s="5" t="s">
        <v>302</v>
      </c>
      <c r="C41" s="38" t="str">
        <f>Data!$C$9</f>
        <v>£m 18/19</v>
      </c>
      <c r="D41" s="217">
        <f>D38+D39</f>
        <v>0.11692159981325714</v>
      </c>
      <c r="E41" s="217">
        <f t="shared" ref="E41:H41" si="3">E38+E39</f>
        <v>0.30062832439217529</v>
      </c>
      <c r="F41" s="217">
        <f t="shared" si="3"/>
        <v>0.33741369460036585</v>
      </c>
      <c r="G41" s="217">
        <f t="shared" si="3"/>
        <v>0.33741369460036585</v>
      </c>
      <c r="H41" s="217">
        <f t="shared" si="3"/>
        <v>0.40434332777788251</v>
      </c>
    </row>
    <row r="42" spans="1:11" s="2" customFormat="1">
      <c r="A42" s="3"/>
      <c r="B42" s="5"/>
      <c r="C42" s="38"/>
      <c r="D42" s="419"/>
      <c r="E42" s="419"/>
      <c r="F42" s="419"/>
      <c r="G42" s="419"/>
      <c r="H42" s="419"/>
    </row>
    <row r="43" spans="1:11" s="2" customFormat="1">
      <c r="A43" s="1" t="s">
        <v>167</v>
      </c>
      <c r="B43" s="5" t="s">
        <v>115</v>
      </c>
      <c r="C43" s="38"/>
      <c r="D43" s="419"/>
      <c r="E43" s="419"/>
      <c r="F43" s="419"/>
      <c r="G43" s="419"/>
      <c r="H43" s="419"/>
    </row>
    <row r="44" spans="1:11" s="2" customFormat="1" ht="14.25">
      <c r="A44" s="3"/>
      <c r="B44" s="66" t="s">
        <v>303</v>
      </c>
      <c r="C44" s="38" t="str">
        <f>Data!$C$9</f>
        <v>£m 18/19</v>
      </c>
      <c r="D44" s="312">
        <v>0.35641703390175822</v>
      </c>
      <c r="E44" s="551"/>
      <c r="F44" s="551"/>
      <c r="G44" s="551"/>
      <c r="H44" s="551"/>
      <c r="I44" s="2" t="s">
        <v>298</v>
      </c>
    </row>
    <row r="45" spans="1:11" s="2" customFormat="1" ht="14.25">
      <c r="A45" s="3"/>
      <c r="B45" s="66" t="s">
        <v>299</v>
      </c>
      <c r="C45" s="38" t="str">
        <f>Data!$C$9</f>
        <v>£m 18/19</v>
      </c>
      <c r="D45" s="649">
        <v>0</v>
      </c>
      <c r="E45" s="551"/>
      <c r="F45" s="551"/>
      <c r="G45" s="551"/>
      <c r="H45" s="551"/>
    </row>
    <row r="46" spans="1:11" s="2" customFormat="1" ht="14.25">
      <c r="A46" s="3"/>
      <c r="B46" s="66" t="s">
        <v>300</v>
      </c>
      <c r="C46" s="38" t="str">
        <f>Data!$C$9</f>
        <v>£m 18/19</v>
      </c>
      <c r="D46" s="204">
        <v>3.5641703390175826E-2</v>
      </c>
      <c r="E46" s="551"/>
      <c r="F46" s="551"/>
      <c r="G46" s="551"/>
      <c r="H46" s="551"/>
    </row>
    <row r="47" spans="1:11" s="2" customFormat="1" ht="14.25">
      <c r="A47" s="3"/>
      <c r="B47" s="2" t="s">
        <v>304</v>
      </c>
      <c r="C47" s="38" t="str">
        <f>Data!$C$9</f>
        <v>£m 18/19</v>
      </c>
      <c r="D47" s="211">
        <f>D44-D45-D46</f>
        <v>0.32077533051158241</v>
      </c>
      <c r="E47" s="551"/>
      <c r="F47" s="551"/>
      <c r="G47" s="551"/>
      <c r="H47" s="551"/>
    </row>
    <row r="48" spans="1:11" ht="14.25">
      <c r="A48" s="91"/>
      <c r="B48" s="5" t="s">
        <v>305</v>
      </c>
      <c r="C48" s="38" t="str">
        <f>Data!$C$9</f>
        <v>£m 18/19</v>
      </c>
      <c r="D48" s="212">
        <f>D45+D46</f>
        <v>3.5641703390175826E-2</v>
      </c>
      <c r="E48" s="551"/>
      <c r="F48" s="551"/>
      <c r="G48" s="551"/>
      <c r="H48" s="551"/>
      <c r="I48" s="2"/>
    </row>
    <row r="49" spans="1:11">
      <c r="B49" s="5"/>
      <c r="C49" s="38"/>
      <c r="D49" s="38"/>
      <c r="E49" s="38"/>
      <c r="F49" s="38"/>
      <c r="G49" s="38"/>
      <c r="H49" s="38"/>
      <c r="I49" s="38"/>
    </row>
    <row r="50" spans="1:11">
      <c r="A50" s="1" t="s">
        <v>168</v>
      </c>
      <c r="B50" s="5" t="s">
        <v>116</v>
      </c>
      <c r="C50" s="38"/>
      <c r="D50" s="419"/>
      <c r="E50" s="419"/>
      <c r="F50" s="419"/>
      <c r="G50" s="419"/>
      <c r="H50" s="419"/>
      <c r="I50" s="2"/>
    </row>
    <row r="51" spans="1:11">
      <c r="A51" s="3"/>
      <c r="B51" s="66" t="s">
        <v>306</v>
      </c>
      <c r="C51" s="38" t="str">
        <f>Data!$C$9</f>
        <v>£m 18/19</v>
      </c>
      <c r="D51" s="312">
        <v>0</v>
      </c>
      <c r="E51" s="312">
        <v>0</v>
      </c>
      <c r="F51" s="312">
        <v>0</v>
      </c>
      <c r="G51" s="312">
        <v>0</v>
      </c>
      <c r="H51" s="312">
        <v>0</v>
      </c>
      <c r="I51" s="2" t="s">
        <v>298</v>
      </c>
    </row>
    <row r="52" spans="1:11">
      <c r="A52" s="3"/>
      <c r="B52" s="66" t="s">
        <v>307</v>
      </c>
      <c r="C52" s="38" t="str">
        <f>Data!$C$9</f>
        <v>£m 18/19</v>
      </c>
      <c r="D52" s="649">
        <v>0</v>
      </c>
      <c r="E52" s="428">
        <v>0</v>
      </c>
      <c r="F52" s="428">
        <v>0</v>
      </c>
      <c r="G52" s="428">
        <v>0</v>
      </c>
      <c r="H52" s="428">
        <v>0</v>
      </c>
      <c r="I52" s="2"/>
    </row>
    <row r="53" spans="1:11">
      <c r="A53" s="3"/>
      <c r="B53" s="66" t="s">
        <v>300</v>
      </c>
      <c r="C53" s="38" t="str">
        <f>Data!$C$9</f>
        <v>£m 18/19</v>
      </c>
      <c r="D53" s="204">
        <v>0</v>
      </c>
      <c r="E53" s="204">
        <v>0</v>
      </c>
      <c r="F53" s="204">
        <v>0</v>
      </c>
      <c r="G53" s="204">
        <v>0</v>
      </c>
      <c r="H53" s="204">
        <v>0</v>
      </c>
      <c r="I53" s="2"/>
    </row>
    <row r="54" spans="1:11">
      <c r="A54" s="3"/>
      <c r="B54" s="2" t="s">
        <v>308</v>
      </c>
      <c r="C54" s="38" t="str">
        <f>Data!$C$9</f>
        <v>£m 18/19</v>
      </c>
      <c r="D54" s="211">
        <f>D51-D52-D53</f>
        <v>0</v>
      </c>
      <c r="E54" s="212">
        <f>E51-E52-E53</f>
        <v>0</v>
      </c>
      <c r="F54" s="212">
        <f>F51-F52-F53</f>
        <v>0</v>
      </c>
      <c r="G54" s="212">
        <f>G51-G52-G53</f>
        <v>0</v>
      </c>
      <c r="H54" s="212">
        <f>H51-H52-H53</f>
        <v>0</v>
      </c>
      <c r="I54" s="2"/>
    </row>
    <row r="55" spans="1:11">
      <c r="A55" s="91"/>
      <c r="B55" s="5" t="s">
        <v>309</v>
      </c>
      <c r="C55" s="38" t="str">
        <f>Data!$C$9</f>
        <v>£m 18/19</v>
      </c>
      <c r="D55" s="212">
        <f>D52+D53</f>
        <v>0</v>
      </c>
      <c r="E55" s="212">
        <f>E52+E53</f>
        <v>0</v>
      </c>
      <c r="F55" s="212">
        <f>F52+F53</f>
        <v>0</v>
      </c>
      <c r="G55" s="212">
        <f>G52+G53</f>
        <v>0</v>
      </c>
      <c r="H55" s="212">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9" t="s">
        <v>310</v>
      </c>
      <c r="C58" s="69"/>
    </row>
    <row r="59" spans="1:11" s="2" customFormat="1" ht="15">
      <c r="B59" s="139" t="s">
        <v>311</v>
      </c>
      <c r="C59" s="640" t="s">
        <v>530</v>
      </c>
      <c r="D59" s="139"/>
      <c r="E59" s="139"/>
      <c r="F59" s="139"/>
      <c r="G59" s="139"/>
      <c r="H59" s="139"/>
      <c r="I59" s="139"/>
      <c r="J59" s="139"/>
      <c r="K59" s="139"/>
    </row>
    <row r="60" spans="1:11" s="2" customFormat="1">
      <c r="B60" s="514" t="s">
        <v>312</v>
      </c>
      <c r="C60" s="69"/>
    </row>
    <row r="61" spans="1:11" s="2" customFormat="1" ht="18.95" customHeight="1">
      <c r="A61" s="78"/>
      <c r="B61" s="337" t="s">
        <v>313</v>
      </c>
    </row>
    <row r="62" spans="1:11" s="2" customFormat="1" ht="14.45" customHeight="1">
      <c r="A62" s="78" t="s">
        <v>169</v>
      </c>
      <c r="B62" s="451" t="s">
        <v>586</v>
      </c>
      <c r="C62" s="38" t="str">
        <f>Data!$C$9</f>
        <v>£m 18/19</v>
      </c>
      <c r="D62" s="582">
        <v>0</v>
      </c>
      <c r="E62" s="582">
        <v>0</v>
      </c>
      <c r="F62" s="582">
        <v>0</v>
      </c>
      <c r="G62" s="582">
        <v>0</v>
      </c>
      <c r="H62" s="582">
        <v>0</v>
      </c>
    </row>
    <row r="63" spans="1:11" s="2" customFormat="1" ht="14.45" customHeight="1">
      <c r="A63" s="78" t="s">
        <v>170</v>
      </c>
      <c r="B63" s="451" t="s">
        <v>586</v>
      </c>
      <c r="C63" s="38" t="str">
        <f>Data!$C$9</f>
        <v>£m 18/19</v>
      </c>
      <c r="D63" s="582">
        <v>0</v>
      </c>
      <c r="E63" s="582">
        <v>0</v>
      </c>
      <c r="F63" s="582">
        <v>0</v>
      </c>
      <c r="G63" s="582">
        <v>0</v>
      </c>
      <c r="H63" s="582">
        <v>0</v>
      </c>
    </row>
    <row r="64" spans="1:11" s="2" customFormat="1" ht="14.45" customHeight="1">
      <c r="A64" s="78" t="s">
        <v>171</v>
      </c>
      <c r="B64" s="451" t="s">
        <v>586</v>
      </c>
      <c r="C64" s="38" t="str">
        <f>Data!$C$9</f>
        <v>£m 18/19</v>
      </c>
      <c r="D64" s="582">
        <v>0</v>
      </c>
      <c r="E64" s="582">
        <v>0</v>
      </c>
      <c r="F64" s="582">
        <v>0</v>
      </c>
      <c r="G64" s="582">
        <v>0</v>
      </c>
      <c r="H64" s="582">
        <v>0</v>
      </c>
    </row>
    <row r="65" spans="1:13" s="2" customFormat="1" ht="14.45" customHeight="1">
      <c r="A65" s="78" t="s">
        <v>172</v>
      </c>
      <c r="B65" s="451" t="s">
        <v>586</v>
      </c>
      <c r="C65" s="38" t="str">
        <f>Data!$C$9</f>
        <v>£m 18/19</v>
      </c>
      <c r="D65" s="582">
        <v>0</v>
      </c>
      <c r="E65" s="582">
        <v>0</v>
      </c>
      <c r="F65" s="582">
        <v>0</v>
      </c>
      <c r="G65" s="582">
        <v>0</v>
      </c>
      <c r="H65" s="582">
        <v>0</v>
      </c>
    </row>
    <row r="66" spans="1:13" s="2" customFormat="1" ht="14.45" customHeight="1">
      <c r="A66" s="78" t="s">
        <v>173</v>
      </c>
      <c r="B66" s="451" t="s">
        <v>586</v>
      </c>
      <c r="C66" s="38" t="str">
        <f>Data!$C$9</f>
        <v>£m 18/19</v>
      </c>
      <c r="D66" s="582">
        <v>0</v>
      </c>
      <c r="E66" s="582">
        <v>0</v>
      </c>
      <c r="F66" s="582">
        <v>0</v>
      </c>
      <c r="G66" s="582">
        <v>0</v>
      </c>
      <c r="H66" s="582">
        <v>0</v>
      </c>
    </row>
    <row r="67" spans="1:13" s="2" customFormat="1" ht="14.45" customHeight="1">
      <c r="B67" s="5"/>
      <c r="C67" s="77" t="str">
        <f>Data!$C$9</f>
        <v>£m 18/19</v>
      </c>
      <c r="D67" s="211">
        <f>SUM(D62:D66)</f>
        <v>0</v>
      </c>
      <c r="E67" s="211">
        <f>SUM(E62:E66)</f>
        <v>0</v>
      </c>
      <c r="F67" s="211">
        <f>SUM(F62:F66)</f>
        <v>0</v>
      </c>
      <c r="G67" s="211">
        <f>SUM(G62:G66)</f>
        <v>0</v>
      </c>
      <c r="H67" s="211">
        <f>SUM(H62:H66)</f>
        <v>0</v>
      </c>
    </row>
    <row r="68" spans="1:13" s="2" customFormat="1" ht="14.45" customHeight="1">
      <c r="B68" s="5"/>
      <c r="C68" s="77"/>
      <c r="D68" s="77"/>
      <c r="E68" s="77"/>
      <c r="F68" s="77"/>
      <c r="G68" s="77"/>
      <c r="H68" s="77"/>
      <c r="I68" s="77"/>
    </row>
    <row r="69" spans="1:13" s="192" customFormat="1" ht="14.25" customHeight="1">
      <c r="A69" s="191"/>
      <c r="M69" s="2"/>
    </row>
    <row r="70" spans="1:13" s="2" customFormat="1">
      <c r="A70" s="420"/>
      <c r="B70" s="421" t="s">
        <v>294</v>
      </c>
      <c r="C70" s="422"/>
      <c r="D70" s="422"/>
      <c r="E70" s="422"/>
      <c r="F70" s="422"/>
      <c r="G70" s="422"/>
      <c r="H70" s="422"/>
      <c r="I70" s="422"/>
      <c r="J70" s="422"/>
    </row>
    <row r="71" spans="1:13" s="2" customFormat="1">
      <c r="A71" s="423" t="s">
        <v>166</v>
      </c>
      <c r="B71" s="421"/>
      <c r="C71" s="422"/>
      <c r="D71" s="422"/>
      <c r="E71" s="422"/>
      <c r="F71" s="422"/>
      <c r="G71" s="422"/>
      <c r="H71" s="422"/>
      <c r="I71" s="422"/>
      <c r="J71" s="422"/>
    </row>
    <row r="72" spans="1:13" s="2" customFormat="1">
      <c r="A72" s="423" t="s">
        <v>167</v>
      </c>
      <c r="B72" s="421"/>
      <c r="C72" s="422"/>
      <c r="D72" s="422"/>
      <c r="E72" s="422"/>
      <c r="F72" s="422"/>
      <c r="G72" s="422"/>
      <c r="H72" s="422"/>
      <c r="I72" s="422"/>
      <c r="J72" s="422"/>
    </row>
    <row r="73" spans="1:13" s="2" customFormat="1">
      <c r="A73" s="423" t="s">
        <v>168</v>
      </c>
      <c r="B73" s="747"/>
      <c r="C73" s="747"/>
      <c r="D73" s="747"/>
      <c r="E73" s="747"/>
      <c r="F73" s="747"/>
      <c r="G73" s="747"/>
      <c r="H73" s="747"/>
      <c r="I73" s="747"/>
      <c r="J73" s="747"/>
    </row>
    <row r="74" spans="1:13" s="2" customFormat="1">
      <c r="A74" s="423" t="s">
        <v>169</v>
      </c>
      <c r="B74" s="747"/>
      <c r="C74" s="747"/>
      <c r="D74" s="747"/>
      <c r="E74" s="747"/>
      <c r="F74" s="747"/>
      <c r="G74" s="747"/>
      <c r="H74" s="747"/>
      <c r="I74" s="747"/>
      <c r="J74" s="747"/>
    </row>
    <row r="75" spans="1:13" s="2" customFormat="1">
      <c r="A75" s="423" t="s">
        <v>170</v>
      </c>
      <c r="B75" s="747"/>
      <c r="C75" s="747"/>
      <c r="D75" s="747"/>
      <c r="E75" s="747"/>
      <c r="F75" s="747"/>
      <c r="G75" s="747"/>
      <c r="H75" s="747"/>
      <c r="I75" s="747"/>
      <c r="J75" s="747"/>
    </row>
    <row r="76" spans="1:13" s="2" customFormat="1">
      <c r="A76" s="423" t="s">
        <v>171</v>
      </c>
      <c r="B76" s="747"/>
      <c r="C76" s="747"/>
      <c r="D76" s="747"/>
      <c r="E76" s="747"/>
      <c r="F76" s="747"/>
      <c r="G76" s="747"/>
      <c r="H76" s="747"/>
      <c r="I76" s="747"/>
      <c r="J76" s="747"/>
    </row>
    <row r="77" spans="1:13" s="2" customFormat="1">
      <c r="A77" s="423" t="s">
        <v>172</v>
      </c>
      <c r="B77" s="379"/>
      <c r="C77" s="379"/>
      <c r="D77" s="379"/>
      <c r="E77" s="379"/>
      <c r="F77" s="379"/>
      <c r="G77" s="379"/>
      <c r="H77" s="379"/>
      <c r="I77" s="379"/>
      <c r="J77" s="379"/>
    </row>
    <row r="78" spans="1:13" s="2" customFormat="1">
      <c r="A78" s="423" t="s">
        <v>173</v>
      </c>
      <c r="B78" s="747"/>
      <c r="C78" s="747"/>
      <c r="D78" s="747"/>
      <c r="E78" s="747"/>
      <c r="F78" s="747"/>
      <c r="G78" s="747"/>
      <c r="H78" s="747"/>
      <c r="I78" s="747"/>
      <c r="J78" s="747"/>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37" priority="33">
      <formula>AND(D$5="Actuals",E$5="Forecast")</formula>
    </cfRule>
  </conditionalFormatting>
  <conditionalFormatting sqref="H5:H6">
    <cfRule type="expression" dxfId="36" priority="237">
      <formula>AND(H$5="Actuals",#REF!="Forecast")</formula>
    </cfRule>
  </conditionalFormatting>
  <conditionalFormatting sqref="D7:H7">
    <cfRule type="expression" dxfId="35"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&amp;C&amp;"Calibri"&amp;11&amp;K000000_x000D_&amp;1#&amp;"Calibri"&amp;12&amp;K008000Internal Use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107"/>
  <sheetViews>
    <sheetView showGridLines="0" zoomScaleNormal="100" workbookViewId="0">
      <pane ySplit="7" topLeftCell="A8" activePane="bottomLeft" state="frozen"/>
      <selection activeCell="B1" sqref="B1"/>
      <selection pane="bottomLeft" activeCell="B3" sqref="B3"/>
    </sheetView>
  </sheetViews>
  <sheetFormatPr defaultRowHeight="12.75"/>
  <cols>
    <col min="1" max="1" width="8.375" customWidth="1"/>
    <col min="2" max="2" width="101.75" customWidth="1"/>
    <col min="3" max="3" width="14.125" customWidth="1"/>
    <col min="4" max="8" width="11.125" customWidth="1"/>
    <col min="9" max="10" width="12.875" customWidth="1"/>
    <col min="11" max="11" width="5" customWidth="1"/>
  </cols>
  <sheetData>
    <row r="1" spans="1:11" ht="20.25">
      <c r="A1" s="677" t="s">
        <v>143</v>
      </c>
      <c r="B1" s="400"/>
      <c r="C1" s="401"/>
      <c r="D1" s="401"/>
      <c r="E1" s="401"/>
      <c r="F1" s="401"/>
      <c r="G1" s="401"/>
      <c r="H1" s="401"/>
      <c r="I1" s="402"/>
      <c r="J1" s="402"/>
      <c r="K1" s="684"/>
    </row>
    <row r="2" spans="1:11" ht="20.25">
      <c r="A2" s="299" t="str">
        <f>Licensee</f>
        <v>SPT</v>
      </c>
      <c r="B2" s="294"/>
      <c r="C2" s="16"/>
      <c r="D2" s="16"/>
      <c r="E2" s="16"/>
      <c r="F2" s="16"/>
      <c r="G2" s="16"/>
      <c r="H2" s="16"/>
      <c r="I2" s="15"/>
      <c r="J2" s="15"/>
      <c r="K2" s="65"/>
    </row>
    <row r="3" spans="1:11" ht="20.25">
      <c r="A3" s="294">
        <f>Reporting_Year</f>
        <v>2022</v>
      </c>
      <c r="B3" s="583" t="str">
        <f>IF('RFPR cover'!C7=Data!B78,"Not required to be completed for System Operator","")</f>
        <v/>
      </c>
      <c r="C3" s="584"/>
      <c r="D3" s="571"/>
      <c r="E3" s="571"/>
      <c r="F3" s="571"/>
      <c r="G3" s="571"/>
      <c r="H3" s="571"/>
      <c r="I3" s="572"/>
      <c r="J3" s="572"/>
      <c r="K3" s="119"/>
    </row>
    <row r="4" spans="1:11" ht="12.75" customHeight="1">
      <c r="A4" s="22"/>
      <c r="B4" s="22"/>
      <c r="C4" s="22"/>
      <c r="D4" s="22"/>
      <c r="E4" s="22"/>
      <c r="F4" s="22"/>
      <c r="G4" s="22"/>
      <c r="H4" s="22"/>
      <c r="I4" s="19"/>
    </row>
    <row r="5" spans="1:11" s="2" customFormat="1">
      <c r="B5" s="3"/>
      <c r="C5" s="3"/>
      <c r="D5" s="153" t="str">
        <f t="shared" ref="D5:I5" si="0">IF(D6&lt;=Reporting_Year,"Actuals","Forecast")</f>
        <v>Actuals</v>
      </c>
      <c r="E5" s="153" t="str">
        <f t="shared" si="0"/>
        <v>Forecast</v>
      </c>
      <c r="F5" s="153" t="str">
        <f t="shared" si="0"/>
        <v>Forecast</v>
      </c>
      <c r="G5" s="153" t="str">
        <f t="shared" si="0"/>
        <v>Forecast</v>
      </c>
      <c r="H5" s="153" t="str">
        <f t="shared" si="0"/>
        <v>Forecast</v>
      </c>
      <c r="I5" s="153" t="str">
        <f t="shared" si="0"/>
        <v>Forecast</v>
      </c>
    </row>
    <row r="6" spans="1:11" s="2" customFormat="1" ht="25.5">
      <c r="D6" s="62">
        <f>'RFPR cover'!$C$6</f>
        <v>2022</v>
      </c>
      <c r="E6" s="63">
        <f>D6+1</f>
        <v>2023</v>
      </c>
      <c r="F6" s="63">
        <f t="shared" ref="F6:H6" si="1">E6+1</f>
        <v>2024</v>
      </c>
      <c r="G6" s="63">
        <f t="shared" si="1"/>
        <v>2025</v>
      </c>
      <c r="H6" s="87">
        <f t="shared" si="1"/>
        <v>2026</v>
      </c>
      <c r="I6" s="424" t="str">
        <f>"Cumulative to "&amp;'RFPR cover'!$C$9</f>
        <v>Cumulative to 2022</v>
      </c>
      <c r="J6" s="124" t="s">
        <v>155</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5" t="str">
        <f>RIIO_2_start_date+3&amp;"/"&amp;RIGHT(RIIO_2_start_date+4,2)</f>
        <v>2025/26</v>
      </c>
    </row>
    <row r="8" spans="1:11" s="2" customFormat="1"/>
    <row r="9" spans="1:11">
      <c r="B9" s="175" t="s">
        <v>344</v>
      </c>
      <c r="C9" s="75" t="s">
        <v>194</v>
      </c>
      <c r="D9" s="141">
        <v>29.889373310000003</v>
      </c>
      <c r="E9" s="152">
        <v>39.38582745230309</v>
      </c>
      <c r="F9" s="152">
        <v>37.458714104443864</v>
      </c>
      <c r="G9" s="152">
        <v>33.937898793344417</v>
      </c>
      <c r="H9" s="152">
        <v>30.975782039658824</v>
      </c>
      <c r="I9" s="2"/>
      <c r="J9" s="2"/>
    </row>
    <row r="10" spans="1:11">
      <c r="B10" s="6"/>
      <c r="C10" s="75"/>
      <c r="D10" s="105"/>
      <c r="E10" s="105"/>
      <c r="F10" s="105"/>
      <c r="G10" s="105"/>
      <c r="H10" s="105"/>
      <c r="I10" s="2"/>
      <c r="J10" s="2"/>
    </row>
    <row r="11" spans="1:11">
      <c r="B11" s="6" t="s">
        <v>314</v>
      </c>
      <c r="C11" s="8"/>
      <c r="D11" s="106"/>
      <c r="E11" s="106"/>
      <c r="F11" s="106"/>
      <c r="G11" s="106"/>
      <c r="H11" s="106"/>
      <c r="I11" s="2"/>
      <c r="J11" s="2"/>
    </row>
    <row r="12" spans="1:11">
      <c r="B12" s="146" t="s">
        <v>346</v>
      </c>
      <c r="C12" s="75" t="s">
        <v>194</v>
      </c>
      <c r="D12" s="141">
        <v>0</v>
      </c>
      <c r="E12" s="152">
        <v>0</v>
      </c>
      <c r="F12" s="152">
        <v>0</v>
      </c>
      <c r="G12" s="152">
        <v>0</v>
      </c>
      <c r="H12" s="152">
        <v>0</v>
      </c>
      <c r="I12" s="2"/>
      <c r="J12" s="2"/>
    </row>
    <row r="13" spans="1:11">
      <c r="B13" s="146" t="s">
        <v>347</v>
      </c>
      <c r="C13" s="75" t="s">
        <v>194</v>
      </c>
      <c r="D13" s="141">
        <v>0</v>
      </c>
      <c r="E13" s="152">
        <v>0</v>
      </c>
      <c r="F13" s="152">
        <v>0</v>
      </c>
      <c r="G13" s="152">
        <v>0</v>
      </c>
      <c r="H13" s="152">
        <v>0</v>
      </c>
      <c r="I13" s="2"/>
      <c r="J13" s="2"/>
    </row>
    <row r="14" spans="1:11">
      <c r="B14" s="146" t="s">
        <v>348</v>
      </c>
      <c r="C14" s="75" t="s">
        <v>194</v>
      </c>
      <c r="D14" s="141">
        <v>0</v>
      </c>
      <c r="E14" s="152">
        <v>0</v>
      </c>
      <c r="F14" s="152">
        <v>0</v>
      </c>
      <c r="G14" s="152">
        <v>0</v>
      </c>
      <c r="H14" s="152">
        <v>0</v>
      </c>
      <c r="I14" s="2"/>
      <c r="J14" s="2"/>
    </row>
    <row r="15" spans="1:11">
      <c r="B15" s="146" t="s">
        <v>349</v>
      </c>
      <c r="C15" s="75" t="s">
        <v>194</v>
      </c>
      <c r="D15" s="141">
        <v>0</v>
      </c>
      <c r="E15" s="152">
        <v>0</v>
      </c>
      <c r="F15" s="152">
        <v>0</v>
      </c>
      <c r="G15" s="152">
        <v>0</v>
      </c>
      <c r="H15" s="152">
        <v>0</v>
      </c>
      <c r="I15" s="2"/>
      <c r="J15" s="2"/>
    </row>
    <row r="16" spans="1:11">
      <c r="B16" s="146" t="s">
        <v>350</v>
      </c>
      <c r="C16" s="75" t="s">
        <v>194</v>
      </c>
      <c r="D16" s="141">
        <v>0</v>
      </c>
      <c r="E16" s="152">
        <v>0</v>
      </c>
      <c r="F16" s="152">
        <v>0</v>
      </c>
      <c r="G16" s="152">
        <v>0</v>
      </c>
      <c r="H16" s="152">
        <v>0</v>
      </c>
      <c r="I16" s="2"/>
      <c r="J16" s="2"/>
    </row>
    <row r="17" spans="2:9">
      <c r="B17" s="146" t="s">
        <v>351</v>
      </c>
      <c r="C17" s="75" t="s">
        <v>194</v>
      </c>
      <c r="D17" s="141">
        <v>0</v>
      </c>
      <c r="E17" s="152">
        <v>0</v>
      </c>
      <c r="F17" s="152">
        <v>0</v>
      </c>
      <c r="G17" s="152">
        <v>0</v>
      </c>
      <c r="H17" s="152">
        <v>0</v>
      </c>
      <c r="I17" s="2"/>
    </row>
    <row r="18" spans="2:9">
      <c r="B18" s="146" t="s">
        <v>352</v>
      </c>
      <c r="C18" s="75" t="s">
        <v>194</v>
      </c>
      <c r="D18" s="141">
        <v>0</v>
      </c>
      <c r="E18" s="152">
        <v>0</v>
      </c>
      <c r="F18" s="152">
        <v>0</v>
      </c>
      <c r="G18" s="152">
        <v>0</v>
      </c>
      <c r="H18" s="152">
        <v>0</v>
      </c>
      <c r="I18" s="2"/>
    </row>
    <row r="19" spans="2:9" ht="12.75" customHeight="1">
      <c r="B19" s="146" t="s">
        <v>353</v>
      </c>
      <c r="C19" s="75" t="s">
        <v>194</v>
      </c>
      <c r="D19" s="141">
        <v>-0.55274999999999996</v>
      </c>
      <c r="E19" s="152">
        <v>-0.55274999999999996</v>
      </c>
      <c r="F19" s="152">
        <v>-0.55274999999999996</v>
      </c>
      <c r="G19" s="152">
        <v>-0.50668749999999996</v>
      </c>
      <c r="H19" s="152">
        <v>0</v>
      </c>
      <c r="I19" s="2"/>
    </row>
    <row r="20" spans="2:9">
      <c r="B20" s="146" t="s">
        <v>544</v>
      </c>
      <c r="C20" s="75" t="s">
        <v>194</v>
      </c>
      <c r="D20" s="141">
        <v>-0.3</v>
      </c>
      <c r="E20" s="152">
        <v>0</v>
      </c>
      <c r="F20" s="152">
        <v>0</v>
      </c>
      <c r="G20" s="152">
        <v>0</v>
      </c>
      <c r="H20" s="152">
        <v>0</v>
      </c>
      <c r="I20" s="2"/>
    </row>
    <row r="21" spans="2:9">
      <c r="B21" s="146" t="s">
        <v>354</v>
      </c>
      <c r="C21" s="75" t="s">
        <v>194</v>
      </c>
      <c r="D21" s="141">
        <v>0</v>
      </c>
      <c r="E21" s="152">
        <v>0</v>
      </c>
      <c r="F21" s="152">
        <v>0</v>
      </c>
      <c r="G21" s="152">
        <v>0</v>
      </c>
      <c r="H21" s="152">
        <v>0</v>
      </c>
      <c r="I21" s="2"/>
    </row>
    <row r="22" spans="2:9">
      <c r="B22" s="146" t="s">
        <v>354</v>
      </c>
      <c r="C22" s="75" t="s">
        <v>194</v>
      </c>
      <c r="D22" s="141">
        <v>0</v>
      </c>
      <c r="E22" s="152">
        <v>0</v>
      </c>
      <c r="F22" s="152">
        <v>0</v>
      </c>
      <c r="G22" s="152">
        <v>0</v>
      </c>
      <c r="H22" s="152">
        <v>0</v>
      </c>
      <c r="I22" s="2"/>
    </row>
    <row r="23" spans="2:9">
      <c r="B23" s="146" t="s">
        <v>354</v>
      </c>
      <c r="C23" s="75" t="s">
        <v>194</v>
      </c>
      <c r="D23" s="141">
        <v>0</v>
      </c>
      <c r="E23" s="152">
        <v>0</v>
      </c>
      <c r="F23" s="152">
        <v>0</v>
      </c>
      <c r="G23" s="152">
        <v>0</v>
      </c>
      <c r="H23" s="152">
        <v>0</v>
      </c>
      <c r="I23" s="2"/>
    </row>
    <row r="24" spans="2:9">
      <c r="B24" s="146" t="s">
        <v>354</v>
      </c>
      <c r="C24" s="75" t="s">
        <v>194</v>
      </c>
      <c r="D24" s="141">
        <v>0</v>
      </c>
      <c r="E24" s="152">
        <v>0</v>
      </c>
      <c r="F24" s="152">
        <v>0</v>
      </c>
      <c r="G24" s="152">
        <v>0</v>
      </c>
      <c r="H24" s="152">
        <v>0</v>
      </c>
      <c r="I24" s="2"/>
    </row>
    <row r="25" spans="2:9">
      <c r="B25" s="146" t="s">
        <v>354</v>
      </c>
      <c r="C25" s="75" t="s">
        <v>194</v>
      </c>
      <c r="D25" s="141">
        <v>0</v>
      </c>
      <c r="E25" s="152">
        <v>0</v>
      </c>
      <c r="F25" s="152">
        <v>0</v>
      </c>
      <c r="G25" s="152">
        <v>0</v>
      </c>
      <c r="H25" s="152">
        <v>0</v>
      </c>
      <c r="I25" s="2"/>
    </row>
    <row r="26" spans="2:9">
      <c r="B26" s="146" t="s">
        <v>354</v>
      </c>
      <c r="C26" s="75" t="s">
        <v>194</v>
      </c>
      <c r="D26" s="141">
        <v>0</v>
      </c>
      <c r="E26" s="152">
        <v>0</v>
      </c>
      <c r="F26" s="152">
        <v>0</v>
      </c>
      <c r="G26" s="152">
        <v>0</v>
      </c>
      <c r="H26" s="152">
        <v>0</v>
      </c>
      <c r="I26" s="2"/>
    </row>
    <row r="27" spans="2:9">
      <c r="B27" s="146" t="s">
        <v>354</v>
      </c>
      <c r="C27" s="75" t="s">
        <v>194</v>
      </c>
      <c r="D27" s="141">
        <v>0</v>
      </c>
      <c r="E27" s="152">
        <v>0</v>
      </c>
      <c r="F27" s="152">
        <v>0</v>
      </c>
      <c r="G27" s="152">
        <v>0</v>
      </c>
      <c r="H27" s="152">
        <v>0</v>
      </c>
      <c r="I27" s="2"/>
    </row>
    <row r="28" spans="2:9">
      <c r="B28" s="146" t="s">
        <v>354</v>
      </c>
      <c r="C28" s="75" t="s">
        <v>194</v>
      </c>
      <c r="D28" s="141">
        <v>0</v>
      </c>
      <c r="E28" s="152">
        <v>0</v>
      </c>
      <c r="F28" s="152">
        <v>0</v>
      </c>
      <c r="G28" s="152">
        <v>0</v>
      </c>
      <c r="H28" s="152">
        <v>0</v>
      </c>
      <c r="I28" s="2"/>
    </row>
    <row r="29" spans="2:9">
      <c r="B29" s="380" t="s">
        <v>229</v>
      </c>
      <c r="C29" s="75" t="s">
        <v>194</v>
      </c>
      <c r="D29" s="71">
        <f>SUM(D9,D12:D28)</f>
        <v>29.036623310000003</v>
      </c>
      <c r="E29" s="72">
        <f t="shared" ref="E29:H29" si="2">SUM(E9,E12:E28)</f>
        <v>38.833077452303087</v>
      </c>
      <c r="F29" s="72">
        <f t="shared" si="2"/>
        <v>36.905964104443861</v>
      </c>
      <c r="G29" s="72">
        <f t="shared" si="2"/>
        <v>33.431211293344418</v>
      </c>
      <c r="H29" s="72">
        <f t="shared" si="2"/>
        <v>30.975782039658824</v>
      </c>
      <c r="I29" s="2"/>
    </row>
    <row r="30" spans="2:9" ht="14.25">
      <c r="B30" s="147" t="s">
        <v>315</v>
      </c>
      <c r="C30" s="75" t="s">
        <v>194</v>
      </c>
      <c r="D30" s="551"/>
      <c r="E30" s="203">
        <v>5.48511888085946</v>
      </c>
      <c r="F30" s="203">
        <v>15.163711323362001</v>
      </c>
      <c r="G30" s="203">
        <v>21.467984904321575</v>
      </c>
      <c r="H30" s="203">
        <v>27.607720501139308</v>
      </c>
      <c r="I30" s="2"/>
    </row>
    <row r="31" spans="2:9">
      <c r="B31" s="380" t="s">
        <v>316</v>
      </c>
      <c r="C31" s="75" t="s">
        <v>194</v>
      </c>
      <c r="D31" s="71">
        <f>SUM(D29:D30)</f>
        <v>29.036623310000003</v>
      </c>
      <c r="E31" s="72">
        <f t="shared" ref="E31:H31" si="3">SUM(E29:E30)</f>
        <v>44.318196333162547</v>
      </c>
      <c r="F31" s="72">
        <f t="shared" si="3"/>
        <v>52.069675427805862</v>
      </c>
      <c r="G31" s="72">
        <f t="shared" si="3"/>
        <v>54.899196197665994</v>
      </c>
      <c r="H31" s="72">
        <f t="shared" si="3"/>
        <v>58.583502540798136</v>
      </c>
      <c r="I31" s="2"/>
    </row>
    <row r="32" spans="2:9">
      <c r="B32" s="88" t="s">
        <v>317</v>
      </c>
      <c r="C32" s="75" t="s">
        <v>194</v>
      </c>
      <c r="D32" s="203">
        <v>7.2847792499999979</v>
      </c>
      <c r="E32" s="203">
        <v>7.2847792499999979</v>
      </c>
      <c r="F32" s="203">
        <v>7.2847792499999979</v>
      </c>
      <c r="G32" s="203">
        <v>7.2847792499999979</v>
      </c>
      <c r="H32" s="203">
        <v>7.2847792499999979</v>
      </c>
      <c r="I32" s="2"/>
    </row>
    <row r="33" spans="2:11">
      <c r="B33" s="88" t="s">
        <v>318</v>
      </c>
      <c r="C33" s="75" t="s">
        <v>194</v>
      </c>
      <c r="D33" s="203">
        <v>21.751844060000003</v>
      </c>
      <c r="E33" s="203">
        <v>37.033417083162547</v>
      </c>
      <c r="F33" s="203">
        <v>44.784896177805862</v>
      </c>
      <c r="G33" s="203">
        <v>47.614416947665994</v>
      </c>
      <c r="H33" s="203">
        <v>51.298723290798137</v>
      </c>
      <c r="I33" s="2"/>
    </row>
    <row r="34" spans="2:11">
      <c r="B34" s="88"/>
      <c r="D34" s="103"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12"/>
      <c r="E35" s="12"/>
      <c r="F35" s="12"/>
      <c r="G35" s="12"/>
      <c r="H35" s="12"/>
      <c r="I35" s="2"/>
    </row>
    <row r="36" spans="2:11">
      <c r="B36" s="88" t="s">
        <v>319</v>
      </c>
      <c r="C36" s="75" t="s">
        <v>194</v>
      </c>
      <c r="D36" s="203">
        <v>0</v>
      </c>
      <c r="E36" s="203">
        <v>0</v>
      </c>
      <c r="F36" s="203">
        <v>0</v>
      </c>
      <c r="G36" s="203">
        <v>0</v>
      </c>
      <c r="H36" s="203">
        <v>0</v>
      </c>
      <c r="I36" s="2"/>
    </row>
    <row r="37" spans="2:11">
      <c r="D37" s="12"/>
      <c r="E37" s="12"/>
      <c r="F37" s="12"/>
      <c r="G37" s="12"/>
      <c r="H37" s="12"/>
      <c r="I37" s="2"/>
    </row>
    <row r="38" spans="2:11">
      <c r="B38" s="88" t="s">
        <v>320</v>
      </c>
      <c r="C38" s="75" t="s">
        <v>194</v>
      </c>
      <c r="D38" s="287">
        <v>64.401596960818154</v>
      </c>
      <c r="E38" s="287">
        <v>127.60559173610756</v>
      </c>
      <c r="F38" s="287">
        <v>64.211971260651353</v>
      </c>
      <c r="G38" s="287">
        <v>35.270976234732402</v>
      </c>
      <c r="H38" s="287">
        <v>42.937751534108095</v>
      </c>
      <c r="I38" s="2"/>
      <c r="K38" s="130"/>
    </row>
    <row r="39" spans="2:11">
      <c r="B39" s="88"/>
      <c r="C39" s="75"/>
      <c r="D39" s="257"/>
      <c r="E39" s="257"/>
      <c r="F39" s="257"/>
      <c r="G39" s="257"/>
      <c r="H39" s="257"/>
      <c r="I39" s="2"/>
      <c r="K39" s="130"/>
    </row>
    <row r="40" spans="2:11">
      <c r="B40" s="88" t="s">
        <v>321</v>
      </c>
      <c r="C40" s="75" t="s">
        <v>194</v>
      </c>
      <c r="D40" s="50">
        <f>D31-D38</f>
        <v>-35.36497365081815</v>
      </c>
      <c r="E40" s="50">
        <f>E31-E38</f>
        <v>-83.287395402945009</v>
      </c>
      <c r="F40" s="50">
        <f t="shared" ref="F40:H40" si="4">F31-F38</f>
        <v>-12.142295832845491</v>
      </c>
      <c r="G40" s="50">
        <f t="shared" si="4"/>
        <v>19.628219962933592</v>
      </c>
      <c r="H40" s="50">
        <f t="shared" si="4"/>
        <v>15.645751006690041</v>
      </c>
    </row>
    <row r="41" spans="2:11">
      <c r="B41" s="88"/>
      <c r="C41" s="75"/>
      <c r="D41" s="75"/>
      <c r="E41" s="75"/>
      <c r="F41" s="75"/>
      <c r="G41" s="75"/>
      <c r="H41" s="75"/>
      <c r="I41" s="75"/>
      <c r="K41" s="130"/>
    </row>
    <row r="42" spans="2:11">
      <c r="B42" s="274" t="s">
        <v>322</v>
      </c>
      <c r="C42" s="75" t="s">
        <v>323</v>
      </c>
      <c r="D42" s="178">
        <f t="shared" ref="D42:H42" si="5">INDEX(real_to_nominal_CF,MATCH(D$6,calendar_year,0))</f>
        <v>1.0847835302284383</v>
      </c>
      <c r="E42" s="178">
        <f t="shared" si="5"/>
        <v>1.1682111694202062</v>
      </c>
      <c r="F42" s="178">
        <f t="shared" si="5"/>
        <v>1.2070548174037865</v>
      </c>
      <c r="G42" s="178">
        <f t="shared" si="5"/>
        <v>1.2275072378847331</v>
      </c>
      <c r="H42" s="178">
        <f t="shared" si="5"/>
        <v>1.2509585044470788</v>
      </c>
      <c r="I42" s="75"/>
      <c r="K42" s="130"/>
    </row>
    <row r="43" spans="2:11">
      <c r="I43" s="38"/>
      <c r="J43" s="38"/>
      <c r="K43" s="38"/>
    </row>
    <row r="44" spans="2:11">
      <c r="B44" s="247" t="s">
        <v>324</v>
      </c>
      <c r="C44" s="77" t="str">
        <f>Data!$C$9</f>
        <v>£m 18/19</v>
      </c>
      <c r="D44" s="71">
        <f t="shared" ref="D44:H44" si="6">D40/D42</f>
        <v>-32.600950019374693</v>
      </c>
      <c r="E44" s="72">
        <f t="shared" si="6"/>
        <v>-71.294811745620706</v>
      </c>
      <c r="F44" s="72">
        <f t="shared" si="6"/>
        <v>-10.059440265490133</v>
      </c>
      <c r="G44" s="72">
        <f t="shared" si="6"/>
        <v>15.990308942501523</v>
      </c>
      <c r="H44" s="72">
        <f t="shared" si="6"/>
        <v>12.507010385292862</v>
      </c>
      <c r="I44" s="228">
        <f>SUM(D44:INDEX(D44:H44,0,MATCH('RFPR cover'!$C$9,$D$6:$H$6,0)))</f>
        <v>-32.600950019374693</v>
      </c>
      <c r="J44" s="229">
        <f>SUM(D44:H44)</f>
        <v>-85.457882702691151</v>
      </c>
    </row>
    <row r="45" spans="2:11">
      <c r="B45" s="88"/>
      <c r="C45" s="38"/>
      <c r="D45" s="255"/>
      <c r="E45" s="255"/>
      <c r="F45" s="255"/>
      <c r="G45" s="255"/>
      <c r="H45" s="255"/>
      <c r="I45" s="261"/>
      <c r="J45" s="261"/>
    </row>
    <row r="46" spans="2:11">
      <c r="B46" s="247" t="s">
        <v>325</v>
      </c>
      <c r="C46" s="75"/>
      <c r="D46" s="255"/>
      <c r="E46" s="255"/>
      <c r="F46" s="255"/>
      <c r="G46" s="255"/>
      <c r="H46" s="255"/>
      <c r="I46" s="261"/>
      <c r="J46" s="261"/>
    </row>
    <row r="47" spans="2:11">
      <c r="B47" s="146" t="s">
        <v>355</v>
      </c>
      <c r="C47" s="75" t="s">
        <v>194</v>
      </c>
      <c r="D47" s="286">
        <v>0</v>
      </c>
      <c r="E47" s="286">
        <v>0</v>
      </c>
      <c r="F47" s="286">
        <v>0</v>
      </c>
      <c r="G47" s="286">
        <v>0</v>
      </c>
      <c r="H47" s="286">
        <v>0</v>
      </c>
      <c r="I47" s="228">
        <f>SUM(D47:INDEX(D47:H47,0,MATCH('RFPR cover'!$C$9,$D$6:$H$6,0)))</f>
        <v>0</v>
      </c>
      <c r="J47" s="228">
        <f t="shared" ref="J47:J54" si="7">SUM(D47:H47)</f>
        <v>0</v>
      </c>
    </row>
    <row r="48" spans="2:11" ht="14.25">
      <c r="B48" s="146" t="s">
        <v>326</v>
      </c>
      <c r="C48" s="75" t="s">
        <v>194</v>
      </c>
      <c r="D48" s="551"/>
      <c r="E48" s="203">
        <v>0</v>
      </c>
      <c r="F48" s="203">
        <v>0</v>
      </c>
      <c r="G48" s="203">
        <v>0</v>
      </c>
      <c r="H48" s="203">
        <v>0</v>
      </c>
      <c r="I48" s="228">
        <f>SUM(D48:INDEX(D48:H48,0,MATCH('RFPR cover'!$C$9,$D$6:$H$6,0)))</f>
        <v>0</v>
      </c>
      <c r="J48" s="228">
        <f t="shared" si="7"/>
        <v>0</v>
      </c>
    </row>
    <row r="49" spans="1:11">
      <c r="B49" s="146" t="s">
        <v>356</v>
      </c>
      <c r="C49" s="75" t="s">
        <v>194</v>
      </c>
      <c r="D49" s="286">
        <v>0</v>
      </c>
      <c r="E49" s="286">
        <v>0</v>
      </c>
      <c r="F49" s="286">
        <v>0</v>
      </c>
      <c r="G49" s="286">
        <v>0</v>
      </c>
      <c r="H49" s="286">
        <v>0</v>
      </c>
      <c r="I49" s="228">
        <f>SUM(D49:INDEX(D49:H49,0,MATCH('RFPR cover'!$C$9,$D$6:$H$6,0)))</f>
        <v>0</v>
      </c>
      <c r="J49" s="228">
        <f t="shared" si="7"/>
        <v>0</v>
      </c>
    </row>
    <row r="50" spans="1:11">
      <c r="B50" s="146" t="s">
        <v>357</v>
      </c>
      <c r="C50" s="75" t="s">
        <v>194</v>
      </c>
      <c r="D50" s="286">
        <v>0</v>
      </c>
      <c r="E50" s="286">
        <v>0</v>
      </c>
      <c r="F50" s="286">
        <v>0</v>
      </c>
      <c r="G50" s="286">
        <v>0</v>
      </c>
      <c r="H50" s="286">
        <v>0</v>
      </c>
      <c r="I50" s="228">
        <f>SUM(D50:INDEX(D50:H50,0,MATCH('RFPR cover'!$C$9,$D$6:$H$6,0)))</f>
        <v>0</v>
      </c>
      <c r="J50" s="228">
        <f t="shared" si="7"/>
        <v>0</v>
      </c>
    </row>
    <row r="51" spans="1:11">
      <c r="B51" s="655" t="s">
        <v>354</v>
      </c>
      <c r="C51" s="75" t="s">
        <v>194</v>
      </c>
      <c r="D51" s="286">
        <v>0</v>
      </c>
      <c r="E51" s="286">
        <v>0</v>
      </c>
      <c r="F51" s="286">
        <v>0</v>
      </c>
      <c r="G51" s="286">
        <v>0</v>
      </c>
      <c r="H51" s="286">
        <v>0</v>
      </c>
      <c r="I51" s="228">
        <f>SUM(D51:INDEX(D51:H51,0,MATCH('RFPR cover'!$C$9,$D$6:$H$6,0)))</f>
        <v>0</v>
      </c>
      <c r="J51" s="228">
        <f t="shared" si="7"/>
        <v>0</v>
      </c>
    </row>
    <row r="52" spans="1:11">
      <c r="B52" s="655" t="s">
        <v>354</v>
      </c>
      <c r="C52" s="75" t="s">
        <v>194</v>
      </c>
      <c r="D52" s="286">
        <v>0</v>
      </c>
      <c r="E52" s="286">
        <v>0</v>
      </c>
      <c r="F52" s="286">
        <v>0</v>
      </c>
      <c r="G52" s="286">
        <v>0</v>
      </c>
      <c r="H52" s="286">
        <v>0</v>
      </c>
      <c r="I52" s="228">
        <f>SUM(D52:INDEX(D52:H52,0,MATCH('RFPR cover'!$C$9,$D$6:$H$6,0)))</f>
        <v>0</v>
      </c>
      <c r="J52" s="228">
        <f t="shared" si="7"/>
        <v>0</v>
      </c>
    </row>
    <row r="53" spans="1:11">
      <c r="B53" s="655" t="s">
        <v>354</v>
      </c>
      <c r="C53" s="75" t="s">
        <v>194</v>
      </c>
      <c r="D53" s="286">
        <v>0</v>
      </c>
      <c r="E53" s="286">
        <v>0</v>
      </c>
      <c r="F53" s="286">
        <v>0</v>
      </c>
      <c r="G53" s="286">
        <v>0</v>
      </c>
      <c r="H53" s="286">
        <v>0</v>
      </c>
      <c r="I53" s="228">
        <f>SUM(D53:INDEX(D53:H53,0,MATCH('RFPR cover'!$C$9,$D$6:$H$6,0)))</f>
        <v>0</v>
      </c>
      <c r="J53" s="228">
        <f t="shared" si="7"/>
        <v>0</v>
      </c>
    </row>
    <row r="54" spans="1:11">
      <c r="B54" s="655" t="s">
        <v>354</v>
      </c>
      <c r="C54" s="75" t="s">
        <v>194</v>
      </c>
      <c r="D54" s="286">
        <v>0</v>
      </c>
      <c r="E54" s="286">
        <v>0</v>
      </c>
      <c r="F54" s="286">
        <v>0</v>
      </c>
      <c r="G54" s="286">
        <v>0</v>
      </c>
      <c r="H54" s="286">
        <v>0</v>
      </c>
      <c r="I54" s="228">
        <f>SUM(D54:INDEX(D54:H54,0,MATCH('RFPR cover'!$C$9,$D$6:$H$6,0)))</f>
        <v>0</v>
      </c>
      <c r="J54" s="228">
        <f t="shared" si="7"/>
        <v>0</v>
      </c>
    </row>
    <row r="55" spans="1:11" s="25" customFormat="1">
      <c r="B55" s="277"/>
      <c r="C55" s="278"/>
      <c r="D55" s="585"/>
      <c r="E55" s="585"/>
      <c r="F55" s="585"/>
      <c r="G55" s="585"/>
      <c r="H55" s="585"/>
      <c r="I55" s="586"/>
      <c r="J55" s="586"/>
    </row>
    <row r="56" spans="1:11">
      <c r="B56" s="276" t="s">
        <v>327</v>
      </c>
      <c r="C56" s="109" t="s">
        <v>194</v>
      </c>
      <c r="D56" s="71">
        <f>SUM(D47:D54)</f>
        <v>0</v>
      </c>
      <c r="E56" s="71">
        <f t="shared" ref="E56:H56" si="8">SUM(E47:E54)</f>
        <v>0</v>
      </c>
      <c r="F56" s="71">
        <f t="shared" si="8"/>
        <v>0</v>
      </c>
      <c r="G56" s="71">
        <f t="shared" si="8"/>
        <v>0</v>
      </c>
      <c r="H56" s="71">
        <f t="shared" si="8"/>
        <v>0</v>
      </c>
      <c r="I56" s="228">
        <f>SUM(D56:INDEX(D56:H56,0,MATCH('RFPR cover'!$C$9,$D$6:$H$6,0)))</f>
        <v>0</v>
      </c>
      <c r="J56" s="229">
        <f>SUM(D56:H56)</f>
        <v>0</v>
      </c>
    </row>
    <row r="57" spans="1:11">
      <c r="B57" s="276" t="s">
        <v>327</v>
      </c>
      <c r="C57" s="77" t="str">
        <f>Data!$C$9</f>
        <v>£m 18/19</v>
      </c>
      <c r="D57" s="71">
        <f>D56/D42</f>
        <v>0</v>
      </c>
      <c r="E57" s="71">
        <f t="shared" ref="E57:H57" si="9">E56/E42</f>
        <v>0</v>
      </c>
      <c r="F57" s="71">
        <f t="shared" si="9"/>
        <v>0</v>
      </c>
      <c r="G57" s="71">
        <f t="shared" si="9"/>
        <v>0</v>
      </c>
      <c r="H57" s="71">
        <f t="shared" si="9"/>
        <v>0</v>
      </c>
      <c r="I57" s="228">
        <f>SUM(D57:INDEX(D57:H57,0,MATCH('RFPR cover'!$C$9,$D$6:$H$6,0)))</f>
        <v>0</v>
      </c>
      <c r="J57" s="229">
        <f>SUM(D57:H57)</f>
        <v>0</v>
      </c>
    </row>
    <row r="58" spans="1:11">
      <c r="B58" s="88"/>
      <c r="C58" s="38"/>
      <c r="D58" s="255"/>
      <c r="E58" s="255"/>
      <c r="F58" s="255"/>
      <c r="G58" s="255"/>
      <c r="H58" s="255"/>
      <c r="I58" s="261"/>
      <c r="J58" s="261"/>
    </row>
    <row r="59" spans="1:11" s="2" customFormat="1">
      <c r="A59" s="1"/>
    </row>
    <row r="60" spans="1:11" s="2" customFormat="1">
      <c r="A60" s="1"/>
      <c r="B60" s="262" t="s">
        <v>328</v>
      </c>
      <c r="C60" s="40"/>
      <c r="D60" s="40"/>
      <c r="E60" s="40"/>
      <c r="F60" s="40"/>
      <c r="G60" s="40"/>
      <c r="H60" s="40"/>
      <c r="I60" s="40"/>
      <c r="J60" s="40"/>
      <c r="K60" s="40"/>
    </row>
    <row r="61" spans="1:11" s="2" customFormat="1">
      <c r="A61" s="1"/>
      <c r="B61" s="145" t="s">
        <v>329</v>
      </c>
      <c r="C61" s="625"/>
      <c r="D61" s="625"/>
      <c r="E61" s="625"/>
      <c r="F61" s="625"/>
      <c r="G61" s="625"/>
      <c r="H61" s="625"/>
      <c r="I61" s="625"/>
      <c r="J61" s="625"/>
      <c r="K61" s="625"/>
    </row>
    <row r="62" spans="1:11" s="2" customFormat="1">
      <c r="A62" s="1"/>
    </row>
    <row r="63" spans="1:11">
      <c r="B63" s="88" t="s">
        <v>24</v>
      </c>
      <c r="C63" s="38" t="s">
        <v>158</v>
      </c>
      <c r="D63" s="288">
        <f>Data!$C$8</f>
        <v>0.55000000000000004</v>
      </c>
      <c r="E63" s="289">
        <f>Data!$C$8</f>
        <v>0.55000000000000004</v>
      </c>
      <c r="F63" s="289">
        <f>Data!$C$8</f>
        <v>0.55000000000000004</v>
      </c>
      <c r="G63" s="289">
        <f>Data!$C$8</f>
        <v>0.55000000000000004</v>
      </c>
      <c r="H63" s="289">
        <f>Data!$C$8</f>
        <v>0.55000000000000004</v>
      </c>
      <c r="I63" s="2"/>
      <c r="K63" s="130"/>
    </row>
    <row r="64" spans="1:11">
      <c r="B64" s="88" t="s">
        <v>330</v>
      </c>
      <c r="C64" s="38" t="s">
        <v>158</v>
      </c>
      <c r="D64" s="289">
        <v>0.540783611094795</v>
      </c>
      <c r="E64" s="289">
        <v>0.55006857225569517</v>
      </c>
      <c r="F64" s="289">
        <v>0.56773009000510133</v>
      </c>
      <c r="G64" s="289">
        <v>0.56108509239439219</v>
      </c>
      <c r="H64" s="289">
        <v>0.55000000000000004</v>
      </c>
      <c r="I64" s="2" t="s">
        <v>331</v>
      </c>
      <c r="K64" s="130"/>
    </row>
    <row r="65" spans="2:12">
      <c r="B65" s="88"/>
      <c r="C65" s="38"/>
      <c r="D65" s="38"/>
      <c r="E65" s="38"/>
      <c r="F65" s="38"/>
      <c r="G65" s="38"/>
      <c r="H65" s="38"/>
      <c r="I65" s="2"/>
      <c r="K65" s="130"/>
    </row>
    <row r="66" spans="2:12">
      <c r="B66" s="88" t="s">
        <v>324</v>
      </c>
      <c r="C66" s="75" t="s">
        <v>194</v>
      </c>
      <c r="D66" s="46">
        <f t="shared" ref="D66:H66" si="10">D40</f>
        <v>-35.36497365081815</v>
      </c>
      <c r="E66" s="47">
        <f>E40</f>
        <v>-83.287395402945009</v>
      </c>
      <c r="F66" s="47">
        <f t="shared" si="10"/>
        <v>-12.142295832845491</v>
      </c>
      <c r="G66" s="47">
        <f t="shared" si="10"/>
        <v>19.628219962933592</v>
      </c>
      <c r="H66" s="47">
        <f t="shared" si="10"/>
        <v>15.645751006690041</v>
      </c>
    </row>
    <row r="67" spans="2:12">
      <c r="B67" s="88" t="s">
        <v>332</v>
      </c>
      <c r="C67" s="75" t="s">
        <v>194</v>
      </c>
      <c r="D67" s="46">
        <f>((D63-D64)/D64)*D66</f>
        <v>-0.60271307062804991</v>
      </c>
      <c r="E67" s="46">
        <f t="shared" ref="E67:H67" si="11">((E63-E64)/E64)*E66</f>
        <v>1.0382713832079388E-2</v>
      </c>
      <c r="F67" s="46">
        <f t="shared" si="11"/>
        <v>0.37920131727205508</v>
      </c>
      <c r="G67" s="46">
        <f t="shared" si="11"/>
        <v>-0.38778544426846356</v>
      </c>
      <c r="H67" s="46">
        <f t="shared" si="11"/>
        <v>0</v>
      </c>
      <c r="K67" s="130"/>
    </row>
    <row r="68" spans="2:12">
      <c r="B68" s="88" t="s">
        <v>333</v>
      </c>
      <c r="C68" s="75" t="s">
        <v>194</v>
      </c>
      <c r="D68" s="50">
        <f>SUM(D66:D67)</f>
        <v>-35.967686721446199</v>
      </c>
      <c r="E68" s="51">
        <f t="shared" ref="E68:H68" si="12">SUM(E66:E67)</f>
        <v>-83.277012689112937</v>
      </c>
      <c r="F68" s="51">
        <f t="shared" si="12"/>
        <v>-11.763094515573435</v>
      </c>
      <c r="G68" s="51">
        <f t="shared" si="12"/>
        <v>19.240434518665129</v>
      </c>
      <c r="H68" s="51">
        <f t="shared" si="12"/>
        <v>15.645751006690041</v>
      </c>
    </row>
    <row r="69" spans="2:12">
      <c r="B69" s="88"/>
      <c r="C69" s="75"/>
      <c r="D69" s="75"/>
      <c r="E69" s="75"/>
      <c r="F69" s="75"/>
      <c r="G69" s="75"/>
      <c r="H69" s="75"/>
      <c r="I69" s="75"/>
      <c r="J69" s="75"/>
      <c r="K69" s="75"/>
      <c r="L69" s="75"/>
    </row>
    <row r="70" spans="2:12">
      <c r="B70" s="247" t="s">
        <v>333</v>
      </c>
      <c r="C70" s="77" t="str">
        <f>Data!$C$9</f>
        <v>£m 18/19</v>
      </c>
      <c r="D70" s="71">
        <f t="shared" ref="D70:H70" si="13">D68/D42</f>
        <v>-33.156556786838358</v>
      </c>
      <c r="E70" s="72">
        <f t="shared" si="13"/>
        <v>-71.285924042691761</v>
      </c>
      <c r="F70" s="72">
        <f t="shared" si="13"/>
        <v>-9.7452860847482299</v>
      </c>
      <c r="G70" s="72">
        <f t="shared" si="13"/>
        <v>15.674395983049891</v>
      </c>
      <c r="H70" s="72">
        <f t="shared" si="13"/>
        <v>12.507010385292862</v>
      </c>
      <c r="I70" s="228">
        <f>SUM(D70:INDEX(D70:H70,0,MATCH('RFPR cover'!$C$9,$D$6:$H$6,0)))</f>
        <v>-33.156556786838358</v>
      </c>
      <c r="J70" s="229">
        <f>SUM(D70:H70)</f>
        <v>-86.006360545935607</v>
      </c>
    </row>
    <row r="71" spans="2:12">
      <c r="B71" s="88" t="s">
        <v>334</v>
      </c>
      <c r="C71" s="38" t="str">
        <f>Data!$C$9</f>
        <v>£m 18/19</v>
      </c>
      <c r="D71" s="46">
        <f>D57*((D63-D64)/D64)+D57</f>
        <v>0</v>
      </c>
      <c r="E71" s="46">
        <f t="shared" ref="E71:H71" si="14">E57*((E63-E64)/E64)+E57</f>
        <v>0</v>
      </c>
      <c r="F71" s="46">
        <f t="shared" si="14"/>
        <v>0</v>
      </c>
      <c r="G71" s="46">
        <f t="shared" si="14"/>
        <v>0</v>
      </c>
      <c r="H71" s="46">
        <f t="shared" si="14"/>
        <v>0</v>
      </c>
      <c r="I71" s="226">
        <f>SUM(D71:INDEX(D71:H71,0,MATCH('RFPR cover'!$C$9,$D$6:$H$6,0)))</f>
        <v>0</v>
      </c>
      <c r="J71" s="227">
        <f>SUM(D71:H71)</f>
        <v>0</v>
      </c>
      <c r="K71" s="38"/>
    </row>
    <row r="73" spans="2:12">
      <c r="B73" s="258" t="s">
        <v>335</v>
      </c>
      <c r="C73" s="259"/>
      <c r="D73" s="259"/>
      <c r="E73" s="259"/>
      <c r="F73" s="259"/>
      <c r="G73" s="259"/>
      <c r="H73" s="259"/>
      <c r="I73" s="259"/>
      <c r="J73" s="259"/>
      <c r="K73" s="259"/>
      <c r="L73" s="38"/>
    </row>
    <row r="74" spans="2:12">
      <c r="B74" s="260"/>
      <c r="C74" s="38"/>
      <c r="D74" s="38"/>
      <c r="E74" s="38"/>
      <c r="F74" s="38"/>
      <c r="G74" s="38"/>
      <c r="H74" s="38"/>
      <c r="I74" s="38"/>
      <c r="J74" s="38"/>
      <c r="K74" s="38"/>
      <c r="L74" s="38"/>
    </row>
    <row r="75" spans="2:12">
      <c r="B75" s="145" t="s">
        <v>336</v>
      </c>
      <c r="C75" s="144"/>
      <c r="D75" s="144"/>
      <c r="E75" s="144"/>
      <c r="F75" s="144"/>
      <c r="G75" s="144"/>
      <c r="H75" s="144"/>
      <c r="I75" s="144"/>
      <c r="J75" s="144"/>
      <c r="K75" s="144"/>
      <c r="L75" s="38"/>
    </row>
    <row r="76" spans="2:12">
      <c r="B76" s="148"/>
      <c r="C76" s="148"/>
      <c r="D76" s="148"/>
      <c r="E76" s="148"/>
      <c r="F76" s="148"/>
      <c r="G76" s="148"/>
      <c r="H76" s="148"/>
      <c r="I76" s="148"/>
      <c r="J76" s="148"/>
      <c r="K76" s="148"/>
      <c r="L76" s="38"/>
    </row>
    <row r="77" spans="2:12">
      <c r="B77" s="88" t="s">
        <v>337</v>
      </c>
      <c r="C77" s="38" t="str">
        <f>Data!$C$9</f>
        <v>£m 18/19</v>
      </c>
      <c r="D77" s="628">
        <f>'R7 - RAV'!E43</f>
        <v>27.127219803107195</v>
      </c>
      <c r="E77" s="628">
        <f>'R7 - RAV'!F43</f>
        <v>26.68589675266454</v>
      </c>
      <c r="F77" s="628">
        <f>'R7 - RAV'!G43</f>
        <v>27.99589986269395</v>
      </c>
      <c r="G77" s="628">
        <f>'R7 - RAV'!H43</f>
        <v>29.139846157597706</v>
      </c>
      <c r="H77" s="628">
        <f>'R7 - RAV'!I43</f>
        <v>30.964882629754161</v>
      </c>
      <c r="I77" s="148"/>
      <c r="J77" s="293"/>
      <c r="L77" s="38"/>
    </row>
    <row r="78" spans="2:12">
      <c r="B78" s="88"/>
      <c r="C78" s="38"/>
      <c r="D78" s="263"/>
      <c r="E78" s="263"/>
      <c r="F78" s="263"/>
      <c r="G78" s="263"/>
      <c r="H78" s="263"/>
      <c r="I78" s="148"/>
      <c r="J78" s="261"/>
      <c r="L78" s="38"/>
    </row>
    <row r="79" spans="2:12">
      <c r="B79" s="88"/>
      <c r="C79" s="38"/>
      <c r="D79" s="263"/>
      <c r="E79" s="264"/>
      <c r="F79" s="264"/>
      <c r="G79" s="264"/>
      <c r="H79" s="264"/>
      <c r="I79" s="261"/>
      <c r="J79" s="261"/>
      <c r="L79" s="38"/>
    </row>
    <row r="80" spans="2:12">
      <c r="B80" s="265" t="s">
        <v>338</v>
      </c>
      <c r="C80" s="259"/>
      <c r="D80" s="259"/>
      <c r="E80" s="259"/>
      <c r="F80" s="259"/>
      <c r="G80" s="259"/>
      <c r="H80" s="259"/>
      <c r="I80" s="259"/>
      <c r="J80" s="259"/>
      <c r="K80" s="259"/>
    </row>
    <row r="81" spans="2:11">
      <c r="B81" s="88"/>
      <c r="C81" s="38"/>
      <c r="D81" s="38"/>
      <c r="E81" s="38"/>
      <c r="F81" s="38"/>
      <c r="G81" s="38"/>
      <c r="H81" s="38"/>
      <c r="I81" s="38"/>
      <c r="J81" s="38"/>
      <c r="K81" s="38"/>
    </row>
    <row r="82" spans="2:11">
      <c r="B82" s="8" t="s">
        <v>339</v>
      </c>
      <c r="C82" s="38"/>
      <c r="D82" s="38"/>
      <c r="E82" s="38"/>
      <c r="F82" s="38"/>
      <c r="G82" s="38"/>
      <c r="H82" s="38"/>
      <c r="I82" s="38"/>
      <c r="J82" s="38"/>
      <c r="K82" s="38"/>
    </row>
    <row r="83" spans="2:11">
      <c r="B83" s="88" t="s">
        <v>340</v>
      </c>
      <c r="C83" s="38" t="str">
        <f>Data!$C$9</f>
        <v>£m 18/19</v>
      </c>
      <c r="D83" s="71">
        <f>D77-D44-D57</f>
        <v>59.728169822481888</v>
      </c>
      <c r="E83" s="71">
        <f>E77-E44-E57</f>
        <v>97.980708498285253</v>
      </c>
      <c r="F83" s="71">
        <f>F77-F44-F57</f>
        <v>38.055340128184085</v>
      </c>
      <c r="G83" s="71">
        <f>G77-G44-G57</f>
        <v>13.149537215096183</v>
      </c>
      <c r="H83" s="71">
        <f>H77-H44-H57</f>
        <v>18.457872244461299</v>
      </c>
      <c r="I83" s="228">
        <f>SUM(D83:INDEX(D83:H83,0,MATCH('RFPR cover'!$C$9,$D$6:$H$6,0)))</f>
        <v>59.728169822481888</v>
      </c>
      <c r="J83" s="229">
        <f>SUM(D83:H83)</f>
        <v>227.37162790850871</v>
      </c>
      <c r="K83" s="38"/>
    </row>
    <row r="84" spans="2:11">
      <c r="B84" s="88"/>
      <c r="K84" s="38"/>
    </row>
    <row r="85" spans="2:11">
      <c r="B85" s="88" t="s">
        <v>341</v>
      </c>
      <c r="C85" s="38" t="str">
        <f>Data!$C$9</f>
        <v>£m 18/19</v>
      </c>
      <c r="D85" s="71">
        <f>D77-D70-D71</f>
        <v>60.283776589945553</v>
      </c>
      <c r="E85" s="687">
        <f>E77-E70-E71</f>
        <v>97.971820795356308</v>
      </c>
      <c r="F85" s="687">
        <f>F77-F70-F71</f>
        <v>37.741185947442176</v>
      </c>
      <c r="G85" s="687">
        <f>G77-G70-G71</f>
        <v>13.465450174547815</v>
      </c>
      <c r="H85" s="687">
        <f>H77-H70-H71</f>
        <v>18.457872244461299</v>
      </c>
      <c r="I85" s="228">
        <f>SUM(D85:INDEX(D85:H85,0,MATCH('RFPR cover'!$C$9,$D$6:$H$6,0)))</f>
        <v>60.283776589945553</v>
      </c>
      <c r="J85" s="229">
        <f>SUM(D85:H85)</f>
        <v>227.92010575175314</v>
      </c>
      <c r="K85" s="38"/>
    </row>
    <row r="86" spans="2:11">
      <c r="B86" s="88"/>
      <c r="K86" s="38"/>
    </row>
    <row r="87" spans="2:11">
      <c r="B87" s="88" t="s">
        <v>342</v>
      </c>
      <c r="C87" s="38" t="str">
        <f>Data!$C$9</f>
        <v>£m 18/19</v>
      </c>
      <c r="D87" s="71">
        <f>D83-D85</f>
        <v>-0.55560676746366511</v>
      </c>
      <c r="E87" s="71">
        <f t="shared" ref="E87:H87" si="15">E83-E85</f>
        <v>8.8877029289449183E-3</v>
      </c>
      <c r="F87" s="71">
        <f t="shared" si="15"/>
        <v>0.31415418074190882</v>
      </c>
      <c r="G87" s="71">
        <f t="shared" si="15"/>
        <v>-0.31591295945163189</v>
      </c>
      <c r="H87" s="71">
        <f t="shared" si="15"/>
        <v>0</v>
      </c>
      <c r="I87" s="228">
        <f>SUM(D87:INDEX(D87:H87,0,MATCH('RFPR cover'!$C$9,$D$6:$H$6,0)))</f>
        <v>-0.55560676746366511</v>
      </c>
      <c r="J87" s="229">
        <f>SUM(D87:H87)</f>
        <v>-0.54847784324444326</v>
      </c>
      <c r="K87" s="38"/>
    </row>
    <row r="88" spans="2:11">
      <c r="K88" s="38"/>
    </row>
    <row r="89" spans="2:11">
      <c r="K89" s="38"/>
    </row>
    <row r="90" spans="2:11">
      <c r="K90" s="38"/>
    </row>
    <row r="91" spans="2:11">
      <c r="B91" s="6" t="s">
        <v>531</v>
      </c>
      <c r="K91" s="38"/>
    </row>
    <row r="92" spans="2:11">
      <c r="B92" s="265" t="s">
        <v>338</v>
      </c>
      <c r="C92" s="98"/>
      <c r="D92" s="98"/>
      <c r="E92" s="98"/>
      <c r="F92" s="98"/>
      <c r="G92" s="98"/>
      <c r="H92" s="98"/>
      <c r="I92" s="98"/>
      <c r="J92" s="98"/>
    </row>
    <row r="93" spans="2:11">
      <c r="B93" s="88"/>
    </row>
    <row r="94" spans="2:11">
      <c r="B94" s="8" t="s">
        <v>339</v>
      </c>
    </row>
    <row r="95" spans="2:11">
      <c r="B95" s="88" t="s">
        <v>340</v>
      </c>
      <c r="C95" s="38" t="s">
        <v>23</v>
      </c>
      <c r="D95" s="71">
        <f>D77-D57-(D31/D42)</f>
        <v>0.36001464109174108</v>
      </c>
      <c r="E95" s="71">
        <f t="shared" ref="E95:H95" si="16">E77-E57-(E31/E42)</f>
        <v>-11.250905679346161</v>
      </c>
      <c r="F95" s="71">
        <f t="shared" si="16"/>
        <v>-15.141888642885913</v>
      </c>
      <c r="G95" s="71">
        <f t="shared" si="16"/>
        <v>-15.584286216781994</v>
      </c>
      <c r="H95" s="71">
        <f t="shared" si="16"/>
        <v>-15.866009308337684</v>
      </c>
      <c r="I95" s="228">
        <f>SUM(D95:INDEX(D95:H95,0,MATCH('RFPR cover'!$C$9,$D$6:$H$6,0)))</f>
        <v>0.36001464109174108</v>
      </c>
      <c r="J95" s="229">
        <f>SUM(D95:H95)</f>
        <v>-57.483075206260011</v>
      </c>
    </row>
    <row r="96" spans="2:11">
      <c r="B96" s="88"/>
    </row>
    <row r="97" spans="2:10">
      <c r="B97" s="88" t="s">
        <v>341</v>
      </c>
      <c r="C97" s="38" t="s">
        <v>23</v>
      </c>
      <c r="D97" s="71">
        <f>D77-D107</f>
        <v>-9.6169621184841958E-2</v>
      </c>
      <c r="E97" s="71">
        <f t="shared" ref="E97:H97" si="17">E77-E107</f>
        <v>-11.246176428762091</v>
      </c>
      <c r="F97" s="71">
        <f t="shared" si="17"/>
        <v>-13.794704679432289</v>
      </c>
      <c r="G97" s="71">
        <f t="shared" si="17"/>
        <v>-14.700692718488614</v>
      </c>
      <c r="H97" s="71">
        <f t="shared" si="17"/>
        <v>-15.866009308337684</v>
      </c>
      <c r="I97" s="228">
        <f>SUM(D97:INDEX(D97:H97,0,MATCH('RFPR cover'!$C$9,$D$6:$H$6,0)))</f>
        <v>-9.6169621184841958E-2</v>
      </c>
      <c r="J97" s="229">
        <f>SUM(D97:H97)</f>
        <v>-55.703752756205517</v>
      </c>
    </row>
    <row r="98" spans="2:10">
      <c r="B98" s="88"/>
    </row>
    <row r="99" spans="2:10">
      <c r="B99" s="88" t="s">
        <v>342</v>
      </c>
      <c r="C99" s="38" t="s">
        <v>23</v>
      </c>
      <c r="D99" s="71">
        <f t="shared" ref="D99:H99" si="18">D95-D97</f>
        <v>0.45618426227658304</v>
      </c>
      <c r="E99" s="71">
        <f t="shared" si="18"/>
        <v>-4.7292505840701438E-3</v>
      </c>
      <c r="F99" s="71">
        <f t="shared" si="18"/>
        <v>-1.3471839634536238</v>
      </c>
      <c r="G99" s="71">
        <f t="shared" si="18"/>
        <v>-0.8835934982933793</v>
      </c>
      <c r="H99" s="71">
        <f t="shared" si="18"/>
        <v>0</v>
      </c>
      <c r="I99" s="228">
        <f>SUM(D99:INDEX(D99:H99,0,MATCH('RFPR cover'!$C$9,$D$6:$H$6,0)))</f>
        <v>0.45618426227658304</v>
      </c>
      <c r="J99" s="229">
        <f>SUM(D99:H99)</f>
        <v>-1.7793224500544902</v>
      </c>
    </row>
    <row r="101" spans="2:10">
      <c r="D101" s="689"/>
      <c r="E101" s="689"/>
      <c r="F101" s="689"/>
      <c r="G101" s="689"/>
      <c r="H101" s="689"/>
      <c r="I101" s="689"/>
    </row>
    <row r="102" spans="2:10">
      <c r="D102" s="689"/>
      <c r="E102" s="689"/>
      <c r="F102" s="689"/>
      <c r="G102" s="689"/>
      <c r="H102" s="689"/>
    </row>
    <row r="104" spans="2:10">
      <c r="B104" s="88" t="s">
        <v>324</v>
      </c>
      <c r="C104" s="38" t="s">
        <v>23</v>
      </c>
      <c r="D104" s="47">
        <f>D31</f>
        <v>29.036623310000003</v>
      </c>
      <c r="E104" s="47">
        <f t="shared" ref="E104:H104" si="19">E31</f>
        <v>44.318196333162547</v>
      </c>
      <c r="F104" s="47">
        <f t="shared" si="19"/>
        <v>52.069675427805862</v>
      </c>
      <c r="G104" s="47">
        <f t="shared" si="19"/>
        <v>54.899196197665994</v>
      </c>
      <c r="H104" s="48">
        <f t="shared" si="19"/>
        <v>58.583502540798136</v>
      </c>
    </row>
    <row r="105" spans="2:10">
      <c r="B105" s="88" t="s">
        <v>332</v>
      </c>
      <c r="C105" s="38" t="s">
        <v>23</v>
      </c>
      <c r="D105" s="46">
        <f>((D63-D64)/D64)*D104</f>
        <v>0.49486117446704903</v>
      </c>
      <c r="E105" s="46">
        <f t="shared" ref="E105:H105" si="20">((E63-E64)/E64)*E104</f>
        <v>-5.5247633553067782E-3</v>
      </c>
      <c r="F105" s="46">
        <f t="shared" si="20"/>
        <v>-1.6261248930158225</v>
      </c>
      <c r="G105" s="46">
        <f t="shared" si="20"/>
        <v>-1.0846174145030127</v>
      </c>
      <c r="H105" s="46">
        <f t="shared" si="20"/>
        <v>0</v>
      </c>
    </row>
    <row r="106" spans="2:10">
      <c r="B106" s="88" t="s">
        <v>333</v>
      </c>
      <c r="C106" s="38" t="s">
        <v>23</v>
      </c>
      <c r="D106" s="51">
        <f>SUM(D104:D105)</f>
        <v>29.53148448446705</v>
      </c>
      <c r="E106" s="51">
        <f t="shared" ref="E106:H106" si="21">SUM(E104:E105)</f>
        <v>44.312671569807243</v>
      </c>
      <c r="F106" s="51">
        <f t="shared" si="21"/>
        <v>50.443550534790042</v>
      </c>
      <c r="G106" s="51">
        <f t="shared" si="21"/>
        <v>53.814578783162979</v>
      </c>
      <c r="H106" s="52">
        <f t="shared" si="21"/>
        <v>58.583502540798136</v>
      </c>
    </row>
    <row r="107" spans="2:10">
      <c r="B107" s="88" t="s">
        <v>333</v>
      </c>
      <c r="C107" s="38" t="s">
        <v>23</v>
      </c>
      <c r="D107" s="51">
        <f>D106/D42</f>
        <v>27.223389424292037</v>
      </c>
      <c r="E107" s="51">
        <f t="shared" ref="E107:H107" si="22">E106/E42</f>
        <v>37.932073181426631</v>
      </c>
      <c r="F107" s="51">
        <f t="shared" si="22"/>
        <v>41.790604542126239</v>
      </c>
      <c r="G107" s="51">
        <f t="shared" si="22"/>
        <v>43.84053887608632</v>
      </c>
      <c r="H107" s="51">
        <f t="shared" si="22"/>
        <v>46.830891938091845</v>
      </c>
    </row>
  </sheetData>
  <conditionalFormatting sqref="D48">
    <cfRule type="expression" dxfId="34" priority="4">
      <formula>C$12="N/A"</formula>
    </cfRule>
  </conditionalFormatting>
  <conditionalFormatting sqref="D48">
    <cfRule type="expression" dxfId="33" priority="3">
      <formula>D$5="Forecast"</formula>
    </cfRule>
  </conditionalFormatting>
  <conditionalFormatting sqref="D30">
    <cfRule type="expression" dxfId="32" priority="2">
      <formula>C$12="N/A"</formula>
    </cfRule>
  </conditionalFormatting>
  <conditionalFormatting sqref="D30">
    <cfRule type="expression" dxfId="31" priority="1">
      <formula>D$5="Forecast"</formula>
    </cfRule>
  </conditionalFormatting>
  <pageMargins left="0.70866141732283472" right="0.70866141732283472" top="0.74803149606299213" bottom="0.74803149606299213" header="0.31496062992125984" footer="0.31496062992125984"/>
  <pageSetup paperSize="8" scale="66" orientation="landscape" r:id="rId1"/>
  <headerFooter>
    <oddFooter>&amp;C&amp;"Calibri"&amp;11&amp;K000000_x000D_&amp;1#&amp;"Calibri"&amp;12&amp;K008000Internal Use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Normal="100" workbookViewId="0">
      <selection activeCell="D5" sqref="D5:H5"/>
    </sheetView>
  </sheetViews>
  <sheetFormatPr defaultRowHeight="12.75"/>
  <cols>
    <col min="1" max="1" width="8.375" customWidth="1"/>
    <col min="2" max="2" width="85.75" bestFit="1" customWidth="1"/>
    <col min="3" max="3" width="14.125" customWidth="1"/>
    <col min="4" max="8" width="11.125" customWidth="1"/>
    <col min="9" max="9" width="5" customWidth="1"/>
    <col min="10" max="10" width="12.875" customWidth="1"/>
  </cols>
  <sheetData>
    <row r="1" spans="1:9" ht="20.25">
      <c r="A1" s="677" t="s">
        <v>144</v>
      </c>
      <c r="B1" s="400"/>
      <c r="C1" s="401"/>
      <c r="D1" s="401"/>
      <c r="E1" s="401"/>
      <c r="F1" s="401"/>
      <c r="G1" s="401"/>
      <c r="H1" s="401"/>
      <c r="I1" s="684"/>
    </row>
    <row r="2" spans="1:9" ht="20.25">
      <c r="A2" s="299" t="str">
        <f>Licensee</f>
        <v>SPT</v>
      </c>
      <c r="B2" s="294"/>
      <c r="C2" s="16"/>
      <c r="D2" s="16"/>
      <c r="E2" s="16"/>
      <c r="F2" s="16"/>
      <c r="G2" s="16"/>
      <c r="H2" s="16"/>
      <c r="I2" s="65"/>
    </row>
    <row r="3" spans="1:9" ht="20.25">
      <c r="A3" s="294">
        <f>Reporting_Year</f>
        <v>2022</v>
      </c>
      <c r="B3" s="583" t="str">
        <f>'R5 - Financing'!B3</f>
        <v/>
      </c>
      <c r="C3" s="571"/>
      <c r="D3" s="571"/>
      <c r="E3" s="571"/>
      <c r="F3" s="571"/>
      <c r="G3" s="571"/>
      <c r="H3" s="571"/>
      <c r="I3" s="119"/>
    </row>
    <row r="4" spans="1:9" ht="12.75" customHeight="1">
      <c r="A4" s="22"/>
      <c r="B4" s="22"/>
      <c r="C4" s="22"/>
      <c r="D4" s="22"/>
      <c r="E4" s="22"/>
      <c r="F4" s="22"/>
      <c r="G4" s="22"/>
      <c r="H4" s="22"/>
      <c r="I4" s="19"/>
    </row>
    <row r="5" spans="1:9" s="2" customFormat="1">
      <c r="B5" s="3"/>
      <c r="C5" s="3"/>
      <c r="D5" s="153" t="str">
        <f t="shared" ref="D5:H5" si="0">IF(D6&lt;=Reporting_Year,"Actuals","Forecast")</f>
        <v>Actuals</v>
      </c>
      <c r="E5" s="153" t="str">
        <f t="shared" si="0"/>
        <v>Forecast</v>
      </c>
      <c r="F5" s="153" t="str">
        <f t="shared" si="0"/>
        <v>Forecast</v>
      </c>
      <c r="G5" s="153" t="str">
        <f t="shared" si="0"/>
        <v>Forecast</v>
      </c>
      <c r="H5" s="153"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5" t="str">
        <f>RIIO_2_start_date+3&amp;"/"&amp;RIGHT(RIIO_2_start_date+4,2)</f>
        <v>2025/26</v>
      </c>
    </row>
    <row r="8" spans="1:9" s="2" customFormat="1"/>
    <row r="9" spans="1:9" s="2" customFormat="1">
      <c r="B9" s="88" t="s">
        <v>358</v>
      </c>
      <c r="C9" s="75" t="s">
        <v>194</v>
      </c>
      <c r="D9" s="587">
        <v>6.3</v>
      </c>
      <c r="E9" s="629">
        <f>D11</f>
        <v>-2.2000000000000002</v>
      </c>
      <c r="F9" s="629">
        <f t="shared" ref="F9:H9" si="2">E11</f>
        <v>0</v>
      </c>
      <c r="G9" s="629">
        <f t="shared" si="2"/>
        <v>0</v>
      </c>
      <c r="H9" s="629">
        <f t="shared" si="2"/>
        <v>0</v>
      </c>
    </row>
    <row r="10" spans="1:9" s="2" customFormat="1">
      <c r="B10" s="88"/>
    </row>
    <row r="11" spans="1:9">
      <c r="B11" s="88" t="s">
        <v>359</v>
      </c>
      <c r="C11" s="75" t="s">
        <v>194</v>
      </c>
      <c r="D11" s="230">
        <v>-2.2000000000000002</v>
      </c>
      <c r="E11" s="231">
        <v>0</v>
      </c>
      <c r="F11" s="231">
        <v>0</v>
      </c>
      <c r="G11" s="231">
        <v>0</v>
      </c>
      <c r="H11" s="231">
        <v>0</v>
      </c>
    </row>
    <row r="12" spans="1:9">
      <c r="B12" s="88" t="s">
        <v>360</v>
      </c>
      <c r="C12" s="75" t="s">
        <v>194</v>
      </c>
      <c r="D12" s="232">
        <v>347.18</v>
      </c>
      <c r="E12" s="233">
        <v>347.46499999999997</v>
      </c>
      <c r="F12" s="233">
        <v>347.75</v>
      </c>
      <c r="G12" s="233">
        <v>348.03500000000003</v>
      </c>
      <c r="H12" s="233">
        <v>348.32</v>
      </c>
    </row>
    <row r="13" spans="1:9">
      <c r="B13" s="88" t="s">
        <v>361</v>
      </c>
      <c r="C13" s="75" t="s">
        <v>194</v>
      </c>
      <c r="D13" s="232">
        <v>1166</v>
      </c>
      <c r="E13" s="233">
        <v>1044</v>
      </c>
      <c r="F13" s="233">
        <v>910</v>
      </c>
      <c r="G13" s="233">
        <v>840</v>
      </c>
      <c r="H13" s="233">
        <v>750</v>
      </c>
    </row>
    <row r="14" spans="1:9">
      <c r="B14" s="88" t="s">
        <v>362</v>
      </c>
      <c r="C14" s="75" t="s">
        <v>194</v>
      </c>
      <c r="D14" s="232">
        <v>-27.843217879999994</v>
      </c>
      <c r="E14" s="233">
        <v>0</v>
      </c>
      <c r="F14" s="233">
        <v>0</v>
      </c>
      <c r="G14" s="233">
        <v>0</v>
      </c>
      <c r="H14" s="233">
        <v>0</v>
      </c>
    </row>
    <row r="15" spans="1:9">
      <c r="B15" s="88" t="s">
        <v>363</v>
      </c>
      <c r="C15" s="75" t="s">
        <v>194</v>
      </c>
      <c r="D15" s="232">
        <v>0</v>
      </c>
      <c r="E15" s="233">
        <v>0</v>
      </c>
      <c r="F15" s="233">
        <v>0</v>
      </c>
      <c r="G15" s="233">
        <v>0</v>
      </c>
      <c r="H15" s="233">
        <v>0</v>
      </c>
    </row>
    <row r="16" spans="1:9">
      <c r="B16" s="88" t="s">
        <v>364</v>
      </c>
      <c r="C16" s="75" t="s">
        <v>194</v>
      </c>
      <c r="D16" s="232">
        <v>0</v>
      </c>
      <c r="E16" s="233">
        <v>0</v>
      </c>
      <c r="F16" s="233">
        <v>0</v>
      </c>
      <c r="G16" s="233">
        <v>0</v>
      </c>
      <c r="H16" s="233">
        <v>0</v>
      </c>
    </row>
    <row r="17" spans="2:10">
      <c r="B17" s="88" t="s">
        <v>365</v>
      </c>
      <c r="C17" s="75" t="s">
        <v>194</v>
      </c>
      <c r="D17" s="232">
        <v>0</v>
      </c>
      <c r="E17" s="233">
        <v>0</v>
      </c>
      <c r="F17" s="233">
        <v>0</v>
      </c>
      <c r="G17" s="233">
        <v>0</v>
      </c>
      <c r="H17" s="233">
        <v>0</v>
      </c>
    </row>
    <row r="18" spans="2:10">
      <c r="B18" s="88" t="s">
        <v>366</v>
      </c>
      <c r="C18" s="75" t="s">
        <v>194</v>
      </c>
      <c r="D18" s="232">
        <v>0</v>
      </c>
      <c r="E18" s="233">
        <v>0</v>
      </c>
      <c r="F18" s="233">
        <v>0</v>
      </c>
      <c r="G18" s="233">
        <v>0</v>
      </c>
      <c r="H18" s="233">
        <v>0</v>
      </c>
    </row>
    <row r="19" spans="2:10">
      <c r="B19" s="88" t="s">
        <v>367</v>
      </c>
      <c r="C19" s="75" t="s">
        <v>194</v>
      </c>
      <c r="D19" s="232">
        <v>0</v>
      </c>
      <c r="E19" s="233">
        <v>0</v>
      </c>
      <c r="F19" s="233">
        <v>0</v>
      </c>
      <c r="G19" s="233">
        <v>0</v>
      </c>
      <c r="H19" s="233">
        <v>0</v>
      </c>
    </row>
    <row r="20" spans="2:10">
      <c r="B20" s="88" t="s">
        <v>368</v>
      </c>
      <c r="C20" s="75" t="s">
        <v>194</v>
      </c>
      <c r="D20" s="232">
        <v>0</v>
      </c>
      <c r="E20" s="233">
        <v>0</v>
      </c>
      <c r="F20" s="233">
        <v>0</v>
      </c>
      <c r="G20" s="233">
        <v>0</v>
      </c>
      <c r="H20" s="233">
        <v>0</v>
      </c>
    </row>
    <row r="21" spans="2:10">
      <c r="B21" s="88" t="s">
        <v>369</v>
      </c>
      <c r="C21" s="75" t="s">
        <v>194</v>
      </c>
      <c r="D21" s="232">
        <v>0</v>
      </c>
      <c r="E21" s="233">
        <v>0</v>
      </c>
      <c r="F21" s="233">
        <v>0</v>
      </c>
      <c r="G21" s="233">
        <v>0</v>
      </c>
      <c r="H21" s="233">
        <v>0</v>
      </c>
    </row>
    <row r="22" spans="2:10">
      <c r="B22" s="88" t="s">
        <v>370</v>
      </c>
      <c r="C22" s="75" t="s">
        <v>194</v>
      </c>
      <c r="D22" s="232">
        <v>0</v>
      </c>
      <c r="E22" s="233">
        <v>0</v>
      </c>
      <c r="F22" s="233">
        <v>0</v>
      </c>
      <c r="G22" s="233">
        <v>0</v>
      </c>
      <c r="H22" s="233">
        <v>0</v>
      </c>
    </row>
    <row r="23" spans="2:10">
      <c r="B23" s="88" t="s">
        <v>371</v>
      </c>
      <c r="C23" s="75" t="s">
        <v>194</v>
      </c>
      <c r="D23" s="232">
        <v>0</v>
      </c>
      <c r="E23" s="233">
        <v>0</v>
      </c>
      <c r="F23" s="233">
        <v>0</v>
      </c>
      <c r="G23" s="233">
        <v>0</v>
      </c>
      <c r="H23" s="233">
        <v>0</v>
      </c>
    </row>
    <row r="24" spans="2:10">
      <c r="B24" s="6" t="s">
        <v>372</v>
      </c>
      <c r="C24" s="109" t="s">
        <v>194</v>
      </c>
      <c r="D24" s="234">
        <f>SUM(D11:D23)</f>
        <v>1483.1367821200001</v>
      </c>
      <c r="E24" s="234">
        <f t="shared" ref="E24:H24" si="3">SUM(E11:E23)</f>
        <v>1391.4649999999999</v>
      </c>
      <c r="F24" s="234">
        <f t="shared" si="3"/>
        <v>1257.75</v>
      </c>
      <c r="G24" s="234">
        <f t="shared" si="3"/>
        <v>1188.0350000000001</v>
      </c>
      <c r="H24" s="234">
        <f t="shared" si="3"/>
        <v>1098.32</v>
      </c>
      <c r="I24" s="2"/>
      <c r="J24" s="123"/>
    </row>
    <row r="25" spans="2:10">
      <c r="B25" s="6"/>
      <c r="C25" s="75"/>
      <c r="D25" s="112"/>
      <c r="E25" s="112"/>
      <c r="F25" s="112"/>
      <c r="G25" s="112"/>
      <c r="H25" s="112"/>
      <c r="I25" s="2"/>
      <c r="J25" s="2"/>
    </row>
    <row r="26" spans="2:10">
      <c r="B26" s="6" t="s">
        <v>373</v>
      </c>
      <c r="C26" s="8"/>
      <c r="D26" s="113"/>
      <c r="E26" s="113"/>
      <c r="F26" s="113"/>
      <c r="G26" s="113"/>
      <c r="H26" s="113"/>
      <c r="I26" s="2"/>
      <c r="J26" s="2"/>
    </row>
    <row r="27" spans="2:10">
      <c r="B27" s="146" t="s">
        <v>389</v>
      </c>
      <c r="C27" s="75" t="s">
        <v>194</v>
      </c>
      <c r="D27" s="140">
        <v>2.82</v>
      </c>
      <c r="E27" s="140">
        <v>0</v>
      </c>
      <c r="F27" s="140">
        <v>0</v>
      </c>
      <c r="G27" s="140">
        <v>0</v>
      </c>
      <c r="H27" s="140">
        <v>0</v>
      </c>
      <c r="I27" s="2"/>
      <c r="J27" s="2"/>
    </row>
    <row r="28" spans="2:10">
      <c r="B28" s="146" t="s">
        <v>390</v>
      </c>
      <c r="C28" s="75" t="s">
        <v>194</v>
      </c>
      <c r="D28" s="140">
        <v>0</v>
      </c>
      <c r="E28" s="149">
        <v>0</v>
      </c>
      <c r="F28" s="149">
        <v>0</v>
      </c>
      <c r="G28" s="149">
        <v>0</v>
      </c>
      <c r="H28" s="149">
        <v>0</v>
      </c>
      <c r="I28" s="2"/>
      <c r="J28" s="2"/>
    </row>
    <row r="29" spans="2:10">
      <c r="B29" s="146" t="s">
        <v>391</v>
      </c>
      <c r="C29" s="75" t="s">
        <v>194</v>
      </c>
      <c r="D29" s="140">
        <v>0</v>
      </c>
      <c r="E29" s="149">
        <v>0</v>
      </c>
      <c r="F29" s="149">
        <v>0</v>
      </c>
      <c r="G29" s="149">
        <v>0</v>
      </c>
      <c r="H29" s="149">
        <v>0</v>
      </c>
      <c r="I29" s="2"/>
      <c r="J29" s="2"/>
    </row>
    <row r="30" spans="2:10">
      <c r="B30" s="146" t="s">
        <v>392</v>
      </c>
      <c r="C30" s="75" t="s">
        <v>194</v>
      </c>
      <c r="D30" s="140">
        <v>0</v>
      </c>
      <c r="E30" s="149">
        <v>0</v>
      </c>
      <c r="F30" s="149">
        <v>0</v>
      </c>
      <c r="G30" s="149">
        <v>0</v>
      </c>
      <c r="H30" s="149">
        <v>0</v>
      </c>
      <c r="I30" s="2"/>
      <c r="J30" s="2"/>
    </row>
    <row r="31" spans="2:10">
      <c r="B31" s="146" t="s">
        <v>545</v>
      </c>
      <c r="C31" s="75" t="s">
        <v>194</v>
      </c>
      <c r="D31" s="140">
        <v>0</v>
      </c>
      <c r="E31" s="149">
        <v>0</v>
      </c>
      <c r="F31" s="149">
        <v>0</v>
      </c>
      <c r="G31" s="149">
        <v>0</v>
      </c>
      <c r="H31" s="149">
        <v>0</v>
      </c>
      <c r="I31" s="2"/>
      <c r="J31" s="2"/>
    </row>
    <row r="32" spans="2:10">
      <c r="B32" s="146" t="s">
        <v>546</v>
      </c>
      <c r="C32" s="75" t="s">
        <v>194</v>
      </c>
      <c r="D32" s="140">
        <v>0</v>
      </c>
      <c r="E32" s="149">
        <v>0</v>
      </c>
      <c r="F32" s="149">
        <v>0</v>
      </c>
      <c r="G32" s="149">
        <v>0</v>
      </c>
      <c r="H32" s="149">
        <v>0</v>
      </c>
      <c r="I32" s="2"/>
      <c r="J32" s="2"/>
    </row>
    <row r="33" spans="2:11" ht="12.75" customHeight="1">
      <c r="B33" s="146" t="s">
        <v>547</v>
      </c>
      <c r="C33" s="75" t="s">
        <v>194</v>
      </c>
      <c r="D33" s="140">
        <v>0</v>
      </c>
      <c r="E33" s="149">
        <v>0</v>
      </c>
      <c r="F33" s="149">
        <v>0</v>
      </c>
      <c r="G33" s="149">
        <v>0</v>
      </c>
      <c r="H33" s="149">
        <v>0</v>
      </c>
      <c r="I33" s="2"/>
      <c r="J33" s="2"/>
    </row>
    <row r="34" spans="2:11">
      <c r="B34" s="146" t="s">
        <v>548</v>
      </c>
      <c r="C34" s="75" t="s">
        <v>194</v>
      </c>
      <c r="D34" s="140">
        <v>0</v>
      </c>
      <c r="E34" s="149">
        <v>0</v>
      </c>
      <c r="F34" s="149">
        <v>0</v>
      </c>
      <c r="G34" s="149">
        <v>0</v>
      </c>
      <c r="H34" s="149">
        <v>0</v>
      </c>
      <c r="I34" s="2"/>
      <c r="J34" s="2"/>
    </row>
    <row r="35" spans="2:11">
      <c r="B35" s="146" t="s">
        <v>549</v>
      </c>
      <c r="C35" s="75" t="s">
        <v>194</v>
      </c>
      <c r="D35" s="140">
        <v>0</v>
      </c>
      <c r="E35" s="149">
        <v>0</v>
      </c>
      <c r="F35" s="149">
        <v>0</v>
      </c>
      <c r="G35" s="149">
        <v>0</v>
      </c>
      <c r="H35" s="149">
        <v>0</v>
      </c>
      <c r="I35" s="2"/>
      <c r="J35" s="2"/>
    </row>
    <row r="36" spans="2:11">
      <c r="B36" s="146" t="s">
        <v>550</v>
      </c>
      <c r="C36" s="75" t="s">
        <v>194</v>
      </c>
      <c r="D36" s="140">
        <v>0</v>
      </c>
      <c r="E36" s="149">
        <v>0</v>
      </c>
      <c r="F36" s="149">
        <v>0</v>
      </c>
      <c r="G36" s="149">
        <v>0</v>
      </c>
      <c r="H36" s="149">
        <v>0</v>
      </c>
      <c r="I36" s="2"/>
      <c r="J36" s="2"/>
    </row>
    <row r="37" spans="2:11">
      <c r="B37" s="146" t="s">
        <v>551</v>
      </c>
      <c r="C37" s="75" t="s">
        <v>194</v>
      </c>
      <c r="D37" s="140">
        <v>0</v>
      </c>
      <c r="E37" s="149">
        <v>0</v>
      </c>
      <c r="F37" s="149">
        <v>0</v>
      </c>
      <c r="G37" s="149">
        <v>0</v>
      </c>
      <c r="H37" s="149">
        <v>0</v>
      </c>
      <c r="I37" s="2"/>
      <c r="J37" s="2"/>
    </row>
    <row r="38" spans="2:11">
      <c r="B38" s="146" t="s">
        <v>552</v>
      </c>
      <c r="C38" s="75" t="s">
        <v>194</v>
      </c>
      <c r="D38" s="140">
        <v>0</v>
      </c>
      <c r="E38" s="149">
        <v>0</v>
      </c>
      <c r="F38" s="149">
        <v>0</v>
      </c>
      <c r="G38" s="149">
        <v>0</v>
      </c>
      <c r="H38" s="149">
        <v>0</v>
      </c>
      <c r="I38" s="2"/>
      <c r="J38" s="2"/>
      <c r="K38" s="310"/>
    </row>
    <row r="39" spans="2:11">
      <c r="B39" s="146" t="s">
        <v>553</v>
      </c>
      <c r="C39" s="75" t="s">
        <v>194</v>
      </c>
      <c r="D39" s="140">
        <v>0</v>
      </c>
      <c r="E39" s="149">
        <v>0</v>
      </c>
      <c r="F39" s="149">
        <v>0</v>
      </c>
      <c r="G39" s="149">
        <v>0</v>
      </c>
      <c r="H39" s="149">
        <v>0</v>
      </c>
    </row>
    <row r="40" spans="2:11">
      <c r="B40" s="146" t="s">
        <v>554</v>
      </c>
      <c r="C40" s="75" t="s">
        <v>194</v>
      </c>
      <c r="D40" s="140">
        <v>0</v>
      </c>
      <c r="E40" s="149">
        <v>0</v>
      </c>
      <c r="F40" s="149">
        <v>0</v>
      </c>
      <c r="G40" s="149">
        <v>0</v>
      </c>
      <c r="H40" s="149">
        <v>0</v>
      </c>
    </row>
    <row r="41" spans="2:11">
      <c r="B41" s="146" t="s">
        <v>555</v>
      </c>
      <c r="C41" s="75" t="s">
        <v>194</v>
      </c>
      <c r="D41" s="140">
        <v>0</v>
      </c>
      <c r="E41" s="149">
        <v>0</v>
      </c>
      <c r="F41" s="149">
        <v>0</v>
      </c>
      <c r="G41" s="149">
        <v>0</v>
      </c>
      <c r="H41" s="149">
        <v>0</v>
      </c>
    </row>
    <row r="42" spans="2:11">
      <c r="B42" s="146" t="s">
        <v>556</v>
      </c>
      <c r="C42" s="75" t="s">
        <v>194</v>
      </c>
      <c r="D42" s="150">
        <v>0</v>
      </c>
      <c r="E42" s="151">
        <v>0</v>
      </c>
      <c r="F42" s="151">
        <v>0</v>
      </c>
      <c r="G42" s="151">
        <v>0</v>
      </c>
      <c r="H42" s="151">
        <v>0</v>
      </c>
    </row>
    <row r="43" spans="2:11">
      <c r="B43" s="380" t="s">
        <v>374</v>
      </c>
      <c r="C43" s="75" t="s">
        <v>194</v>
      </c>
      <c r="D43" s="237">
        <f>SUM(D24,D27:D42)</f>
        <v>1485.9567821200001</v>
      </c>
      <c r="E43" s="237">
        <f t="shared" ref="E43:H43" si="4">SUM(E24,E27:E42)</f>
        <v>1391.4649999999999</v>
      </c>
      <c r="F43" s="237">
        <f t="shared" si="4"/>
        <v>1257.75</v>
      </c>
      <c r="G43" s="237">
        <f t="shared" si="4"/>
        <v>1188.0350000000001</v>
      </c>
      <c r="H43" s="237">
        <f t="shared" si="4"/>
        <v>1098.32</v>
      </c>
    </row>
    <row r="44" spans="2:11">
      <c r="B44" s="147" t="s">
        <v>375</v>
      </c>
      <c r="C44" s="75" t="s">
        <v>194</v>
      </c>
      <c r="D44" s="528"/>
      <c r="E44" s="266">
        <v>438.8095104687568</v>
      </c>
      <c r="F44" s="266">
        <v>774.2873954002032</v>
      </c>
      <c r="G44" s="266">
        <v>943.15139694552249</v>
      </c>
      <c r="H44" s="266">
        <v>1265.466243145622</v>
      </c>
    </row>
    <row r="45" spans="2:11">
      <c r="B45" s="380" t="s">
        <v>376</v>
      </c>
      <c r="C45" s="75" t="s">
        <v>194</v>
      </c>
      <c r="D45" s="46">
        <f>SUM(D43:D44)</f>
        <v>1485.9567821200001</v>
      </c>
      <c r="E45" s="47">
        <f t="shared" ref="E45:H45" si="5">SUM(E43:E44)</f>
        <v>1830.2745104687567</v>
      </c>
      <c r="F45" s="47">
        <f t="shared" si="5"/>
        <v>2032.0373954002032</v>
      </c>
      <c r="G45" s="47">
        <f t="shared" si="5"/>
        <v>2131.1863969455226</v>
      </c>
      <c r="H45" s="47">
        <f t="shared" si="5"/>
        <v>2363.7862431456219</v>
      </c>
    </row>
    <row r="46" spans="2:11">
      <c r="D46" s="103" t="s">
        <v>588</v>
      </c>
      <c r="E46" s="104" t="s">
        <v>588</v>
      </c>
      <c r="F46" s="104" t="s">
        <v>588</v>
      </c>
      <c r="G46" s="104" t="s">
        <v>588</v>
      </c>
      <c r="H46" s="104" t="s">
        <v>588</v>
      </c>
    </row>
    <row r="48" spans="2:11">
      <c r="B48" s="381" t="s">
        <v>377</v>
      </c>
      <c r="C48" s="75" t="s">
        <v>194</v>
      </c>
      <c r="D48" s="266">
        <v>1396.9541448999998</v>
      </c>
      <c r="E48" s="47">
        <f>D49</f>
        <v>1485.9567821200001</v>
      </c>
      <c r="F48" s="47">
        <f t="shared" ref="F48:H48" si="6">E49</f>
        <v>1830.2745104687567</v>
      </c>
      <c r="G48" s="47">
        <f t="shared" si="6"/>
        <v>2032.0373954002032</v>
      </c>
      <c r="H48" s="47">
        <f t="shared" si="6"/>
        <v>2131.1863969455226</v>
      </c>
      <c r="I48" s="90"/>
    </row>
    <row r="49" spans="2:10">
      <c r="B49" s="381" t="s">
        <v>378</v>
      </c>
      <c r="C49" s="75" t="s">
        <v>194</v>
      </c>
      <c r="D49" s="199">
        <f>D45</f>
        <v>1485.9567821200001</v>
      </c>
      <c r="E49" s="200">
        <f>E45</f>
        <v>1830.2745104687567</v>
      </c>
      <c r="F49" s="200">
        <f t="shared" ref="F49:H49" si="7">F45</f>
        <v>2032.0373954002032</v>
      </c>
      <c r="G49" s="200">
        <f t="shared" si="7"/>
        <v>2131.1863969455226</v>
      </c>
      <c r="H49" s="200">
        <f t="shared" si="7"/>
        <v>2363.7862431456219</v>
      </c>
      <c r="I49" s="90"/>
    </row>
    <row r="50" spans="2:10">
      <c r="D50" s="12"/>
      <c r="E50" s="12"/>
      <c r="F50" s="12"/>
      <c r="G50" s="12"/>
      <c r="H50" s="12"/>
    </row>
    <row r="51" spans="2:10">
      <c r="B51" s="6" t="s">
        <v>379</v>
      </c>
    </row>
    <row r="52" spans="2:10">
      <c r="B52" t="s">
        <v>380</v>
      </c>
      <c r="C52" s="90" t="s">
        <v>158</v>
      </c>
      <c r="D52" s="411">
        <v>0</v>
      </c>
      <c r="E52" s="412">
        <v>0</v>
      </c>
      <c r="F52" s="412">
        <v>0</v>
      </c>
      <c r="G52" s="412">
        <v>0</v>
      </c>
      <c r="H52" s="412">
        <v>0</v>
      </c>
    </row>
    <row r="53" spans="2:10">
      <c r="B53" t="s">
        <v>345</v>
      </c>
      <c r="C53" s="90" t="s">
        <v>158</v>
      </c>
      <c r="D53" s="176">
        <f>1-D52</f>
        <v>1</v>
      </c>
      <c r="E53" s="177">
        <f t="shared" ref="E53:H53" si="8">1-E52</f>
        <v>1</v>
      </c>
      <c r="F53" s="177">
        <f t="shared" si="8"/>
        <v>1</v>
      </c>
      <c r="G53" s="177">
        <f t="shared" si="8"/>
        <v>1</v>
      </c>
      <c r="H53" s="177">
        <f t="shared" si="8"/>
        <v>1</v>
      </c>
      <c r="J53" s="310"/>
    </row>
    <row r="54" spans="2:10">
      <c r="C54" s="90"/>
      <c r="D54" s="90"/>
      <c r="E54" s="90"/>
      <c r="F54" s="90"/>
      <c r="G54" s="90"/>
      <c r="H54" s="90"/>
      <c r="I54" s="90"/>
    </row>
    <row r="55" spans="2:10">
      <c r="B55" t="s">
        <v>381</v>
      </c>
      <c r="C55" s="75" t="s">
        <v>194</v>
      </c>
      <c r="D55" s="238">
        <f>AVERAGE(D48:D49)*D53</f>
        <v>1441.4554635099998</v>
      </c>
      <c r="E55" s="239">
        <f t="shared" ref="E55:H55" si="9">AVERAGE(E48:E49)*E53</f>
        <v>1658.1156462943784</v>
      </c>
      <c r="F55" s="239">
        <f t="shared" si="9"/>
        <v>1931.15595293448</v>
      </c>
      <c r="G55" s="239">
        <f t="shared" si="9"/>
        <v>2081.611896172863</v>
      </c>
      <c r="H55" s="239">
        <f t="shared" si="9"/>
        <v>2247.486320045572</v>
      </c>
    </row>
    <row r="56" spans="2:10">
      <c r="B56" t="s">
        <v>382</v>
      </c>
      <c r="C56" s="75" t="s">
        <v>194</v>
      </c>
      <c r="D56" s="235">
        <f>D57-D55</f>
        <v>1224.0385232471622</v>
      </c>
      <c r="E56" s="236">
        <f t="shared" ref="E56:H56" si="10">E57-E55</f>
        <v>1356.2642509152663</v>
      </c>
      <c r="F56" s="236">
        <f t="shared" si="10"/>
        <v>1470.3828890830841</v>
      </c>
      <c r="G56" s="236">
        <f t="shared" si="10"/>
        <v>1628.3635146685247</v>
      </c>
      <c r="H56" s="236">
        <f t="shared" si="10"/>
        <v>1838.8524436736498</v>
      </c>
    </row>
    <row r="57" spans="2:10">
      <c r="B57" t="s">
        <v>383</v>
      </c>
      <c r="C57" s="75" t="s">
        <v>194</v>
      </c>
      <c r="D57" s="281">
        <v>2665.493986757162</v>
      </c>
      <c r="E57" s="281">
        <v>3014.3798972096447</v>
      </c>
      <c r="F57" s="281">
        <v>3401.5388420175641</v>
      </c>
      <c r="G57" s="281">
        <v>3709.9754108413877</v>
      </c>
      <c r="H57" s="281">
        <v>4086.3387637192218</v>
      </c>
    </row>
    <row r="58" spans="2:10">
      <c r="B58" t="s">
        <v>384</v>
      </c>
      <c r="C58" s="75" t="s">
        <v>158</v>
      </c>
      <c r="D58" s="107">
        <f>D55/D57</f>
        <v>0.540783611094795</v>
      </c>
      <c r="E58" s="108">
        <f t="shared" ref="E58:G58" si="11">E55/E57</f>
        <v>0.55006857225569517</v>
      </c>
      <c r="F58" s="108">
        <f t="shared" si="11"/>
        <v>0.56773009000510133</v>
      </c>
      <c r="G58" s="108">
        <f t="shared" si="11"/>
        <v>0.56108509239439219</v>
      </c>
      <c r="H58" s="108">
        <f>H55/H57</f>
        <v>0.55000000000000004</v>
      </c>
    </row>
    <row r="59" spans="2:10">
      <c r="B59" t="s">
        <v>24</v>
      </c>
      <c r="C59" s="75" t="s">
        <v>158</v>
      </c>
      <c r="D59" s="282">
        <f>Data!$C$8</f>
        <v>0.55000000000000004</v>
      </c>
      <c r="E59" s="283">
        <f>Data!$C$8</f>
        <v>0.55000000000000004</v>
      </c>
      <c r="F59" s="283">
        <f>Data!$C$8</f>
        <v>0.55000000000000004</v>
      </c>
      <c r="G59" s="283">
        <f>Data!$C$8</f>
        <v>0.55000000000000004</v>
      </c>
      <c r="H59" s="283">
        <f>Data!$C$8</f>
        <v>0.55000000000000004</v>
      </c>
    </row>
    <row r="60" spans="2:10">
      <c r="B60" t="s">
        <v>385</v>
      </c>
      <c r="C60" s="75" t="s">
        <v>158</v>
      </c>
      <c r="D60" s="110">
        <f t="shared" ref="D60:H60" si="12">IF(ISBLANK(D24),"n/a",D58-D59)</f>
        <v>-9.2163889052050418E-3</v>
      </c>
      <c r="E60" s="111">
        <f t="shared" si="12"/>
        <v>6.857225569512071E-5</v>
      </c>
      <c r="F60" s="111">
        <f t="shared" si="12"/>
        <v>1.7730090005101284E-2</v>
      </c>
      <c r="G60" s="111">
        <f t="shared" si="12"/>
        <v>1.1085092394392149E-2</v>
      </c>
      <c r="H60" s="111">
        <f t="shared" si="12"/>
        <v>0</v>
      </c>
    </row>
    <row r="62" spans="2:10">
      <c r="B62" t="s">
        <v>386</v>
      </c>
      <c r="C62" s="38" t="str">
        <f>Data!$C$9</f>
        <v>£m 18/19</v>
      </c>
      <c r="D62" s="521">
        <f>D64*D58</f>
        <v>1301.1047347305137</v>
      </c>
      <c r="E62" s="342">
        <f t="shared" ref="E62:H62" si="13">E64*E58</f>
        <v>1404.6959929283325</v>
      </c>
      <c r="F62" s="342">
        <f t="shared" si="13"/>
        <v>1579.1470192569338</v>
      </c>
      <c r="G62" s="342">
        <f t="shared" si="13"/>
        <v>1670.0646857705906</v>
      </c>
      <c r="H62" s="342">
        <f t="shared" si="13"/>
        <v>1769.4218645573806</v>
      </c>
    </row>
    <row r="63" spans="2:10">
      <c r="B63" t="s">
        <v>387</v>
      </c>
      <c r="C63" s="38" t="str">
        <f>Data!$C$9</f>
        <v>£m 18/19</v>
      </c>
      <c r="D63" s="223">
        <f>D64*(1-D58)</f>
        <v>1104.8571103344259</v>
      </c>
      <c r="E63" s="224">
        <f t="shared" ref="E63:H63" si="14">E64*(1-E58)</f>
        <v>1148.9783374701879</v>
      </c>
      <c r="F63" s="224">
        <f t="shared" si="14"/>
        <v>1202.3631509063991</v>
      </c>
      <c r="G63" s="224">
        <f t="shared" si="14"/>
        <v>1306.4262394181433</v>
      </c>
      <c r="H63" s="224">
        <f t="shared" si="14"/>
        <v>1447.70879827422</v>
      </c>
    </row>
    <row r="64" spans="2:10">
      <c r="B64" t="s">
        <v>388</v>
      </c>
      <c r="C64" s="38" t="str">
        <f>Data!$C$9</f>
        <v>£m 18/19</v>
      </c>
      <c r="D64" s="281">
        <f>'R7 - RAV'!E41</f>
        <v>2405.9618450649396</v>
      </c>
      <c r="E64" s="281">
        <f>'R7 - RAV'!F41</f>
        <v>2553.6743303985204</v>
      </c>
      <c r="F64" s="281">
        <f>'R7 - RAV'!G41</f>
        <v>2781.510170163333</v>
      </c>
      <c r="G64" s="281">
        <f>'R7 - RAV'!H41</f>
        <v>2976.4909251887339</v>
      </c>
      <c r="H64" s="281">
        <f>'R7 - RAV'!I41</f>
        <v>3217.1306628316006</v>
      </c>
    </row>
    <row r="65" spans="2:8">
      <c r="B65" t="s">
        <v>384</v>
      </c>
      <c r="C65" s="75" t="s">
        <v>158</v>
      </c>
      <c r="D65" s="107">
        <f>D62/D64</f>
        <v>0.540783611094795</v>
      </c>
      <c r="E65" s="108">
        <f t="shared" ref="E65:H65" si="15">E62/E64</f>
        <v>0.55006857225569517</v>
      </c>
      <c r="F65" s="108">
        <f t="shared" si="15"/>
        <v>0.56773009000510133</v>
      </c>
      <c r="G65" s="108">
        <f t="shared" si="15"/>
        <v>0.56108509239439219</v>
      </c>
      <c r="H65" s="108">
        <f t="shared" si="15"/>
        <v>0.55000000000000004</v>
      </c>
    </row>
    <row r="66" spans="2:8">
      <c r="B66" t="s">
        <v>24</v>
      </c>
      <c r="C66" s="75" t="s">
        <v>158</v>
      </c>
      <c r="D66" s="282">
        <f>Data!$C$8</f>
        <v>0.55000000000000004</v>
      </c>
      <c r="E66" s="283">
        <f>Data!$C$8</f>
        <v>0.55000000000000004</v>
      </c>
      <c r="F66" s="283">
        <f>Data!$C$8</f>
        <v>0.55000000000000004</v>
      </c>
      <c r="G66" s="283">
        <f>Data!$C$8</f>
        <v>0.55000000000000004</v>
      </c>
      <c r="H66" s="283">
        <f>Data!$C$8</f>
        <v>0.55000000000000004</v>
      </c>
    </row>
    <row r="67" spans="2:8">
      <c r="B67" t="s">
        <v>385</v>
      </c>
      <c r="C67" s="75" t="s">
        <v>158</v>
      </c>
      <c r="D67" s="110">
        <f t="shared" ref="D67:H67" si="16">IF(ISBLANK(D24),"n/a",D65-D66)</f>
        <v>-9.2163889052050418E-3</v>
      </c>
      <c r="E67" s="111">
        <f t="shared" si="16"/>
        <v>6.857225569512071E-5</v>
      </c>
      <c r="F67" s="111">
        <f t="shared" si="16"/>
        <v>1.7730090005101284E-2</v>
      </c>
      <c r="G67" s="111">
        <f t="shared" si="16"/>
        <v>1.1085092394392149E-2</v>
      </c>
      <c r="H67" s="111">
        <f t="shared" si="16"/>
        <v>0</v>
      </c>
    </row>
  </sheetData>
  <conditionalFormatting sqref="D44">
    <cfRule type="expression" dxfId="30" priority="3">
      <formula>C$12="N/A"</formula>
    </cfRule>
  </conditionalFormatting>
  <conditionalFormatting sqref="D44">
    <cfRule type="expression" dxfId="29" priority="2">
      <formula>D$5="Forecast"</formula>
    </cfRule>
  </conditionalFormatting>
  <conditionalFormatting sqref="D44:H44">
    <cfRule type="expression" dxfId="28"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8" activePane="bottomLeft" state="frozen"/>
      <selection activeCell="B3" sqref="B3:F3"/>
      <selection pane="bottomLeft" activeCell="E9" sqref="E9"/>
    </sheetView>
  </sheetViews>
  <sheetFormatPr defaultRowHeight="12.75"/>
  <cols>
    <col min="1" max="1" width="8.375" customWidth="1"/>
    <col min="2" max="2" width="52.125" bestFit="1" customWidth="1"/>
    <col min="3" max="3" width="4.25" customWidth="1"/>
    <col min="4" max="4" width="14.125" style="90" customWidth="1"/>
    <col min="5" max="9" width="11.125" customWidth="1"/>
    <col min="10" max="10" width="5" customWidth="1"/>
    <col min="12" max="12" width="9" style="88"/>
  </cols>
  <sheetData>
    <row r="1" spans="1:18" ht="20.25">
      <c r="A1" s="677" t="s">
        <v>393</v>
      </c>
      <c r="B1" s="400"/>
      <c r="C1" s="400"/>
      <c r="D1" s="413"/>
      <c r="E1" s="401"/>
      <c r="F1" s="401"/>
      <c r="G1" s="401"/>
      <c r="H1" s="401"/>
      <c r="I1" s="401"/>
      <c r="J1" s="684"/>
    </row>
    <row r="2" spans="1:18" ht="20.25">
      <c r="A2" s="299" t="str">
        <f>Licensee</f>
        <v>SPT</v>
      </c>
      <c r="B2" s="294"/>
      <c r="C2" s="294"/>
      <c r="D2" s="100"/>
      <c r="E2" s="16"/>
      <c r="F2" s="16"/>
      <c r="G2" s="16"/>
      <c r="H2" s="16"/>
      <c r="I2" s="16"/>
      <c r="J2" s="65"/>
    </row>
    <row r="3" spans="1:18" ht="20.25">
      <c r="A3" s="294">
        <f>Reporting_Year</f>
        <v>2022</v>
      </c>
      <c r="B3" s="571"/>
      <c r="C3" s="571"/>
      <c r="D3" s="571"/>
      <c r="E3" s="571"/>
      <c r="F3" s="571"/>
      <c r="G3" s="571"/>
      <c r="H3" s="571"/>
      <c r="I3" s="571"/>
      <c r="J3" s="119"/>
    </row>
    <row r="4" spans="1:18" s="2" customFormat="1" ht="12.75" customHeight="1">
      <c r="D4" s="1"/>
      <c r="L4" s="66"/>
    </row>
    <row r="5" spans="1:18" s="2" customFormat="1">
      <c r="B5" s="21"/>
      <c r="C5" s="21"/>
      <c r="D5" s="101"/>
      <c r="E5" s="153" t="str">
        <f>IF(E6&lt;=Reporting_Year-1,"Actuals","Forecast")</f>
        <v>Forecast</v>
      </c>
      <c r="F5" s="153" t="str">
        <f>IF(F6&lt;=Reporting_Year-1,"Actuals","Forecast")</f>
        <v>Forecast</v>
      </c>
      <c r="G5" s="153" t="str">
        <f>IF(G6&lt;=Reporting_Year-1,"Actuals","Forecast")</f>
        <v>Forecast</v>
      </c>
      <c r="H5" s="153" t="str">
        <f>IF(H6&lt;=Reporting_Year-1,"Actuals","Forecast")</f>
        <v>Forecast</v>
      </c>
      <c r="I5" s="153" t="str">
        <f>IF(I6&lt;=Reporting_Year-1,"Actuals","Forecast")</f>
        <v>Forecast</v>
      </c>
      <c r="L5" s="66"/>
    </row>
    <row r="6" spans="1:18" s="2" customFormat="1">
      <c r="D6" s="1"/>
      <c r="E6" s="62">
        <f>'RFPR cover'!$C$6</f>
        <v>2022</v>
      </c>
      <c r="F6" s="63">
        <f>E6+1</f>
        <v>2023</v>
      </c>
      <c r="G6" s="63">
        <f t="shared" ref="G6:I6" si="0">F6+1</f>
        <v>2024</v>
      </c>
      <c r="H6" s="63">
        <f t="shared" si="0"/>
        <v>2025</v>
      </c>
      <c r="I6" s="63">
        <f t="shared" si="0"/>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5"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07" t="s">
        <v>394</v>
      </c>
      <c r="C9" s="607"/>
      <c r="K9" s="1"/>
      <c r="L9" s="66"/>
    </row>
    <row r="10" spans="1:18" s="2" customFormat="1">
      <c r="E10" s="688"/>
      <c r="K10" s="1"/>
    </row>
    <row r="11" spans="1:18" s="2" customFormat="1">
      <c r="B11" s="160"/>
      <c r="C11" s="160"/>
      <c r="D11" s="160"/>
      <c r="E11" s="160"/>
      <c r="F11" s="160"/>
      <c r="G11" s="160"/>
      <c r="H11" s="160"/>
      <c r="I11" s="160"/>
      <c r="J11" s="160"/>
      <c r="K11" s="1"/>
      <c r="L11" s="66"/>
    </row>
    <row r="12" spans="1:18" s="2" customFormat="1">
      <c r="B12" t="s">
        <v>395</v>
      </c>
      <c r="C12"/>
      <c r="D12" s="94" t="str">
        <f>Data!$C$9</f>
        <v>£m 18/19</v>
      </c>
      <c r="E12" s="345">
        <v>2479.1816132384151</v>
      </c>
      <c r="F12" s="345">
        <v>2753.5749565722163</v>
      </c>
      <c r="G12" s="345">
        <v>2926.6326125118867</v>
      </c>
      <c r="H12" s="345">
        <v>3133.0020476656755</v>
      </c>
      <c r="I12" s="345">
        <v>3404.6799799666956</v>
      </c>
      <c r="K12" s="1"/>
      <c r="L12" s="66"/>
    </row>
    <row r="13" spans="1:18" s="2" customFormat="1">
      <c r="K13" s="1"/>
      <c r="L13" s="66"/>
    </row>
    <row r="14" spans="1:18" s="2" customFormat="1">
      <c r="B14" s="160"/>
      <c r="C14" s="160"/>
      <c r="D14" s="1"/>
      <c r="E14" s="1"/>
      <c r="F14" s="1"/>
      <c r="G14" s="1"/>
      <c r="H14" s="1"/>
      <c r="I14" s="1"/>
      <c r="K14" s="1"/>
      <c r="L14" s="66"/>
    </row>
    <row r="15" spans="1:18" s="2" customFormat="1" ht="14.25">
      <c r="B15" s="2" t="s">
        <v>396</v>
      </c>
      <c r="D15" s="94" t="str">
        <f>Data!$C$9</f>
        <v>£m 18/19</v>
      </c>
      <c r="E15" s="345">
        <v>2430.5620530519318</v>
      </c>
      <c r="F15" s="664">
        <f>E24</f>
        <v>2453.6901444557748</v>
      </c>
      <c r="G15" s="664">
        <f>F24</f>
        <v>2732.2790993902704</v>
      </c>
      <c r="H15" s="664">
        <f>G24</f>
        <v>2913.2280578639238</v>
      </c>
      <c r="I15" s="664">
        <f>H24</f>
        <v>3127.7127429543075</v>
      </c>
      <c r="K15" s="1"/>
      <c r="L15" s="66"/>
    </row>
    <row r="16" spans="1:18" s="2" customFormat="1">
      <c r="B16" s="2" t="s">
        <v>397</v>
      </c>
      <c r="D16" s="94" t="str">
        <f>Data!$C$9</f>
        <v>£m 18/19</v>
      </c>
      <c r="E16" s="346">
        <v>0</v>
      </c>
      <c r="F16" s="347">
        <v>137.8623503740472</v>
      </c>
      <c r="G16" s="347">
        <v>0</v>
      </c>
      <c r="H16" s="347">
        <v>0</v>
      </c>
      <c r="I16" s="347">
        <v>0</v>
      </c>
      <c r="K16" s="1"/>
      <c r="L16" s="66"/>
    </row>
    <row r="17" spans="1:13" s="2" customFormat="1">
      <c r="B17" s="5" t="s">
        <v>398</v>
      </c>
      <c r="C17" s="5"/>
      <c r="D17" s="94" t="str">
        <f>Data!$C$9</f>
        <v>£m 18/19</v>
      </c>
      <c r="E17" s="432">
        <f>SUM(E15:E16)</f>
        <v>2430.5620530519318</v>
      </c>
      <c r="F17" s="433">
        <f t="shared" ref="F17:I17" si="1">SUM(F15:F16)</f>
        <v>2591.5524948298221</v>
      </c>
      <c r="G17" s="433">
        <f t="shared" si="1"/>
        <v>2732.2790993902704</v>
      </c>
      <c r="H17" s="433">
        <f t="shared" si="1"/>
        <v>2913.2280578639238</v>
      </c>
      <c r="I17" s="433">
        <f t="shared" si="1"/>
        <v>3127.7127429543075</v>
      </c>
      <c r="K17" s="1"/>
      <c r="L17" s="66"/>
    </row>
    <row r="18" spans="1:13" s="2" customFormat="1">
      <c r="B18" s="332" t="s">
        <v>399</v>
      </c>
      <c r="C18" s="332"/>
      <c r="D18" s="94" t="str">
        <f>Data!$C$9</f>
        <v>£m 18/19</v>
      </c>
      <c r="E18" s="344">
        <v>211.38643646023132</v>
      </c>
      <c r="F18" s="344">
        <v>312.02315529316098</v>
      </c>
      <c r="G18" s="344">
        <v>352.74200449632576</v>
      </c>
      <c r="H18" s="344">
        <v>385.54043759875833</v>
      </c>
      <c r="I18" s="344">
        <v>433.60489571551511</v>
      </c>
      <c r="K18" s="1"/>
      <c r="L18" s="66"/>
    </row>
    <row r="19" spans="1:13" s="2" customFormat="1">
      <c r="B19" s="332" t="s">
        <v>400</v>
      </c>
      <c r="C19" s="332"/>
      <c r="D19" s="94" t="str">
        <f>Data!$C$9</f>
        <v>£m 18/19</v>
      </c>
      <c r="E19" s="643">
        <v>-25.491468782640197</v>
      </c>
      <c r="F19" s="644">
        <v>3.6291345166355882</v>
      </c>
      <c r="G19" s="644">
        <v>7.4054728836279651</v>
      </c>
      <c r="H19" s="644">
        <v>7.7939863503191305</v>
      </c>
      <c r="I19" s="644">
        <v>2.3490586996466618</v>
      </c>
      <c r="K19" s="1"/>
      <c r="L19" s="66"/>
    </row>
    <row r="20" spans="1:13" s="2" customFormat="1">
      <c r="B20" s="654" t="s">
        <v>401</v>
      </c>
      <c r="C20" s="654"/>
      <c r="D20" s="94" t="str">
        <f>Data!$C$9</f>
        <v>£m 18/19</v>
      </c>
      <c r="E20" s="659">
        <f>SUM(E18:E19)</f>
        <v>185.89496767759113</v>
      </c>
      <c r="F20" s="659">
        <f t="shared" ref="F20:I20" si="2">SUM(F18:F19)</f>
        <v>315.65228980979657</v>
      </c>
      <c r="G20" s="659">
        <f t="shared" si="2"/>
        <v>360.14747737995373</v>
      </c>
      <c r="H20" s="659">
        <f t="shared" si="2"/>
        <v>393.33442394907746</v>
      </c>
      <c r="I20" s="659">
        <f t="shared" si="2"/>
        <v>435.95395441516177</v>
      </c>
      <c r="K20" s="1"/>
      <c r="L20" s="66"/>
    </row>
    <row r="21" spans="1:13" s="2" customFormat="1">
      <c r="B21" s="332" t="s">
        <v>402</v>
      </c>
      <c r="C21" s="332"/>
      <c r="D21" s="94" t="str">
        <f>Data!$C$9</f>
        <v>£m 18/19</v>
      </c>
      <c r="E21" s="660">
        <v>-162.76687627374798</v>
      </c>
      <c r="F21" s="660">
        <v>-175.49216233340692</v>
      </c>
      <c r="G21" s="660">
        <v>-179.68434855665609</v>
      </c>
      <c r="H21" s="660">
        <v>-179.17100244496905</v>
      </c>
      <c r="I21" s="594">
        <v>-161.92696341449533</v>
      </c>
      <c r="K21" s="1"/>
      <c r="L21" s="66"/>
    </row>
    <row r="22" spans="1:13" s="2" customFormat="1">
      <c r="B22" s="332" t="s">
        <v>403</v>
      </c>
      <c r="C22" s="332"/>
      <c r="D22" s="94" t="str">
        <f>Data!$C$9</f>
        <v>£m 18/19</v>
      </c>
      <c r="E22" s="645">
        <v>0</v>
      </c>
      <c r="F22" s="646">
        <v>0.56647708405867103</v>
      </c>
      <c r="G22" s="646">
        <v>0.48582965035565795</v>
      </c>
      <c r="H22" s="646">
        <v>0.32126358627503648</v>
      </c>
      <c r="I22" s="646">
        <v>0.14806388960127803</v>
      </c>
      <c r="K22" s="1"/>
      <c r="L22" s="66"/>
    </row>
    <row r="23" spans="1:13" s="2" customFormat="1">
      <c r="B23" s="155" t="s">
        <v>404</v>
      </c>
      <c r="C23" s="155"/>
      <c r="D23" s="94" t="str">
        <f>Data!$C$9</f>
        <v>£m 18/19</v>
      </c>
      <c r="E23" s="414">
        <f>SUM(E21:E22)</f>
        <v>-162.76687627374798</v>
      </c>
      <c r="F23" s="414">
        <f t="shared" ref="F23:I23" si="3">SUM(F21:F22)</f>
        <v>-174.92568524934825</v>
      </c>
      <c r="G23" s="414">
        <f t="shared" si="3"/>
        <v>-179.19851890630042</v>
      </c>
      <c r="H23" s="414">
        <f t="shared" si="3"/>
        <v>-178.84973885869402</v>
      </c>
      <c r="I23" s="414">
        <f t="shared" si="3"/>
        <v>-161.77889952489406</v>
      </c>
      <c r="K23" s="1"/>
      <c r="L23" s="66"/>
    </row>
    <row r="24" spans="1:13" s="2" customFormat="1">
      <c r="B24" s="5" t="s">
        <v>405</v>
      </c>
      <c r="C24" s="5"/>
      <c r="D24" s="94" t="str">
        <f>Data!$C$9</f>
        <v>£m 18/19</v>
      </c>
      <c r="E24" s="240">
        <f>E17+E20+E23</f>
        <v>2453.6901444557748</v>
      </c>
      <c r="F24" s="240">
        <f t="shared" ref="F24:I24" si="4">F17+F20+F23</f>
        <v>2732.2790993902704</v>
      </c>
      <c r="G24" s="240">
        <f t="shared" si="4"/>
        <v>2913.2280578639238</v>
      </c>
      <c r="H24" s="240">
        <f t="shared" si="4"/>
        <v>3127.7127429543075</v>
      </c>
      <c r="I24" s="240">
        <f t="shared" si="4"/>
        <v>3401.8877978445753</v>
      </c>
      <c r="K24" s="1"/>
      <c r="L24" s="66"/>
    </row>
    <row r="25" spans="1:13" s="2" customFormat="1">
      <c r="B25" s="5"/>
      <c r="C25" s="5"/>
      <c r="D25" s="94"/>
      <c r="E25" s="94"/>
      <c r="F25" s="94"/>
      <c r="G25" s="94"/>
      <c r="H25" s="94"/>
      <c r="I25" s="94"/>
      <c r="J25" s="94"/>
      <c r="K25" s="1"/>
      <c r="L25" s="94"/>
      <c r="M25" s="94"/>
    </row>
    <row r="26" spans="1:13" s="2" customFormat="1">
      <c r="B26" s="5" t="s">
        <v>406</v>
      </c>
      <c r="C26" s="94"/>
      <c r="D26" s="360"/>
      <c r="E26" s="240">
        <f>E19+E22</f>
        <v>-25.491468782640197</v>
      </c>
      <c r="F26" s="668">
        <f>F19+F22</f>
        <v>4.1956116006942592</v>
      </c>
      <c r="G26" s="668">
        <f t="shared" ref="G26:I26" si="5">G19+G22</f>
        <v>7.8913025339836231</v>
      </c>
      <c r="H26" s="668">
        <f t="shared" si="5"/>
        <v>8.1152499365941662</v>
      </c>
      <c r="I26" s="669">
        <f t="shared" si="5"/>
        <v>2.4971225892479398</v>
      </c>
      <c r="J26" s="94"/>
      <c r="K26" s="1"/>
      <c r="L26" s="94"/>
      <c r="M26" s="94"/>
    </row>
    <row r="27" spans="1:13" s="2" customFormat="1">
      <c r="B27" s="5" t="s">
        <v>407</v>
      </c>
      <c r="C27" s="94"/>
      <c r="D27" s="667"/>
      <c r="E27" s="670" t="str">
        <f>IF(E5="Actuals",IF(ABS((E24-SUM($E26:E$26))-E12)&lt;0.1,"TRUE","FALSE"),"NA")</f>
        <v>NA</v>
      </c>
      <c r="F27" s="671" t="str">
        <f>IF(F5="Actuals",IF(ABS((F24-SUM($E26:F$26))-F12)&lt;0.1,"TRUE","FALSE"),"NA")</f>
        <v>NA</v>
      </c>
      <c r="G27" s="671" t="str">
        <f>IF(G5="Actuals",IF(ABS((G24-SUM($E26:G$26))-G12)&lt;0.1,"TRUE","FALSE"),"NA")</f>
        <v>NA</v>
      </c>
      <c r="H27" s="671" t="str">
        <f>IF(H5="Actuals",IF(ABS((H24-SUM($E26:H$26))-H12)&lt;0.1,"TRUE","FALSE"),"NA")</f>
        <v>NA</v>
      </c>
      <c r="I27" s="672"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60"/>
      <c r="F29" s="94"/>
      <c r="G29" s="360"/>
      <c r="H29" s="360"/>
      <c r="I29" s="360"/>
      <c r="J29" s="94"/>
      <c r="K29" s="1"/>
      <c r="L29" s="94"/>
      <c r="M29" s="94"/>
    </row>
    <row r="30" spans="1:13" s="2" customFormat="1">
      <c r="A30"/>
      <c r="B30" s="2" t="s">
        <v>408</v>
      </c>
      <c r="D30" s="90" t="s">
        <v>409</v>
      </c>
      <c r="E30" s="638">
        <f>INDEX(Data!C17:N17,MATCH(RIIO_2_start_date-1,Data!C15:N15,0))/IF(Sector="ED2",Data!$E$16,Data!$C$16)</f>
        <v>1.0533528227824487</v>
      </c>
      <c r="F30" s="94"/>
      <c r="G30" s="360"/>
      <c r="H30" s="360"/>
      <c r="I30" s="523"/>
      <c r="J30" s="525"/>
      <c r="K30" s="1"/>
      <c r="L30" s="94"/>
      <c r="M30" s="94"/>
    </row>
    <row r="31" spans="1:13" s="2" customFormat="1">
      <c r="B31" s="5"/>
      <c r="C31" s="5"/>
      <c r="D31" s="94"/>
      <c r="E31" s="174"/>
      <c r="F31" s="174"/>
      <c r="G31" s="174"/>
      <c r="H31" s="174"/>
      <c r="I31" s="174"/>
      <c r="J31" s="94"/>
      <c r="K31" s="1"/>
      <c r="L31" s="94"/>
      <c r="M31" s="94"/>
    </row>
    <row r="32" spans="1:13" s="2" customFormat="1">
      <c r="B32" s="5" t="s">
        <v>405</v>
      </c>
      <c r="C32" s="5"/>
      <c r="D32" s="75" t="s">
        <v>194</v>
      </c>
      <c r="E32" s="647">
        <f>E24*Combined_real_to_nominal_prices_conversion_factor__financial_year_end</f>
        <v>2770.7485739841677</v>
      </c>
      <c r="F32" s="647">
        <f>F24*Combined_real_to_nominal_prices_conversion_factor__financial_year_end</f>
        <v>3258.0112204351212</v>
      </c>
      <c r="G32" s="647">
        <f>G24*Combined_real_to_nominal_prices_conversion_factor__financial_year_end</f>
        <v>3545.066463600007</v>
      </c>
      <c r="H32" s="647">
        <f>H24*Combined_real_to_nominal_prices_conversion_factor__financial_year_end</f>
        <v>3874.8843580827684</v>
      </c>
      <c r="I32" s="647">
        <f>I24*Combined_real_to_nominal_prices_conversion_factor__financial_year_end</f>
        <v>4297.7931693556757</v>
      </c>
      <c r="K32" s="1"/>
      <c r="L32" s="94"/>
      <c r="M32" s="94"/>
    </row>
    <row r="33" spans="1:13" s="2" customFormat="1">
      <c r="B33" s="5"/>
      <c r="C33" s="5"/>
      <c r="D33" s="94"/>
      <c r="E33" s="94"/>
      <c r="F33" s="94"/>
      <c r="G33" s="94"/>
      <c r="H33" s="94"/>
      <c r="I33" s="94"/>
      <c r="J33" s="94"/>
      <c r="K33" s="1"/>
      <c r="L33" s="94"/>
      <c r="M33" s="94"/>
    </row>
    <row r="34" spans="1:13" s="2" customFormat="1">
      <c r="B34" s="66" t="s">
        <v>410</v>
      </c>
      <c r="C34" s="66"/>
      <c r="D34" s="94" t="s">
        <v>411</v>
      </c>
      <c r="E34" s="158">
        <f>INDEX(Data!$H$55:$P$83,MATCH('RFPR cover'!$C$7,Data!$B$55:$B$83,0),MATCH('R7 - RAV'!E$6,Data!$H$54:$P$54,0))</f>
        <v>2.0500000000000001E-2</v>
      </c>
      <c r="F34" s="158">
        <f>INDEX(Data!$H$55:$P$83,MATCH('RFPR cover'!$C$7,Data!$B$55:$B$83,0),MATCH('R7 - RAV'!F$6,Data!$H$54:$P$54,0))</f>
        <v>1.9E-2</v>
      </c>
      <c r="G34" s="158">
        <f>INDEX(Data!$H$55:$P$83,MATCH('RFPR cover'!$C$7,Data!$B$55:$B$83,0),MATCH('R7 - RAV'!G$6,Data!$H$54:$P$54,0))</f>
        <v>1.83E-2</v>
      </c>
      <c r="H34" s="158">
        <f>INDEX(Data!$H$55:$P$83,MATCH('RFPR cover'!$C$7,Data!$B$55:$B$83,0),MATCH('R7 - RAV'!H$6,Data!$H$54:$P$54,0))</f>
        <v>1.78E-2</v>
      </c>
      <c r="I34" s="158">
        <f>INDEX(Data!$H$55:$P$83,MATCH('RFPR cover'!$C$7,Data!$B$55:$B$83,0),MATCH('R7 - RAV'!I$6,Data!$H$54:$P$54,0))</f>
        <v>1.7500000000000002E-2</v>
      </c>
      <c r="J34" s="94"/>
      <c r="K34" s="1"/>
      <c r="L34" s="94"/>
      <c r="M34" s="94"/>
    </row>
    <row r="35" spans="1:13" s="2" customFormat="1">
      <c r="B35" s="66" t="s">
        <v>412</v>
      </c>
      <c r="C35" s="66"/>
      <c r="D35" s="94" t="s">
        <v>411</v>
      </c>
      <c r="E35" s="511">
        <f>INDEX(Data!$O$55:$U$83,MATCH('RFPR cover'!$C$7,Data!$B$55:$B$83,0),MATCH('R7 - RAV'!E$6,Data!$O$54:$U$54,0))</f>
        <v>4.2439449777777784E-2</v>
      </c>
      <c r="F35" s="511">
        <f>INDEX(Data!$O$55:$U$83,MATCH('RFPR cover'!$C$7,Data!$B$55:$B$83,0),MATCH('R7 - RAV'!F$6,Data!$O$54:$U$54,0))</f>
        <v>4.2616093333333334E-2</v>
      </c>
      <c r="G35" s="511">
        <f>INDEX(Data!$O$55:$U$83,MATCH('RFPR cover'!$C$7,Data!$B$55:$B$83,0),MATCH('R7 - RAV'!G$6,Data!$O$54:$U$54,0))</f>
        <v>4.2388117333333329E-2</v>
      </c>
      <c r="H35" s="511">
        <f>INDEX(Data!$O$55:$U$83,MATCH('RFPR cover'!$C$7,Data!$B$55:$B$83,0),MATCH('R7 - RAV'!H$6,Data!$O$54:$U$54,0))</f>
        <v>4.2547130666666676E-2</v>
      </c>
      <c r="I35" s="511">
        <f>INDEX(Data!$O$55:$U$83,MATCH('RFPR cover'!$C$7,Data!$B$55:$B$83,0),MATCH('R7 - RAV'!I$6,Data!$O$54:$U$54,0))</f>
        <v>4.2685452444444452E-2</v>
      </c>
      <c r="J35" s="94"/>
      <c r="K35" s="1"/>
      <c r="L35" s="94"/>
      <c r="M35" s="94"/>
    </row>
    <row r="36" spans="1:13">
      <c r="A36" s="2"/>
      <c r="B36" s="66" t="s">
        <v>413</v>
      </c>
      <c r="C36" s="66"/>
      <c r="D36" s="94" t="s">
        <v>158</v>
      </c>
      <c r="E36" s="159">
        <f t="shared" ref="E36:I36" si="6">Notional_Gearing</f>
        <v>0.55000000000000004</v>
      </c>
      <c r="F36" s="159">
        <f t="shared" si="6"/>
        <v>0.55000000000000004</v>
      </c>
      <c r="G36" s="159">
        <f t="shared" si="6"/>
        <v>0.55000000000000004</v>
      </c>
      <c r="H36" s="159">
        <f t="shared" si="6"/>
        <v>0.55000000000000004</v>
      </c>
      <c r="I36" s="159">
        <f t="shared" si="6"/>
        <v>0.55000000000000004</v>
      </c>
      <c r="J36" s="94"/>
      <c r="K36" s="1"/>
      <c r="L36" s="94"/>
      <c r="M36" s="94"/>
    </row>
    <row r="37" spans="1:13">
      <c r="B37" t="s">
        <v>414</v>
      </c>
      <c r="D37" s="94" t="s">
        <v>411</v>
      </c>
      <c r="E37" s="156">
        <f t="shared" ref="E37:I37" si="7">E34*E36+E35*(1-E36)</f>
        <v>3.0372752400000001E-2</v>
      </c>
      <c r="F37" s="157">
        <f t="shared" si="7"/>
        <v>2.9627241999999998E-2</v>
      </c>
      <c r="G37" s="157">
        <f t="shared" si="7"/>
        <v>2.9139652799999999E-2</v>
      </c>
      <c r="H37" s="157">
        <f t="shared" si="7"/>
        <v>2.8936208800000002E-2</v>
      </c>
      <c r="I37" s="157">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415</v>
      </c>
      <c r="C39" s="88"/>
      <c r="D39" s="94" t="str">
        <f>Data!$C$9</f>
        <v>£m 18/19</v>
      </c>
      <c r="E39" s="46">
        <f>E41*E36</f>
        <v>1323.2790147857168</v>
      </c>
      <c r="F39" s="47">
        <f t="shared" ref="F39:I39" si="8">F41*F36</f>
        <v>1404.5208817191863</v>
      </c>
      <c r="G39" s="47">
        <f t="shared" si="8"/>
        <v>1529.8305935898334</v>
      </c>
      <c r="H39" s="47">
        <f t="shared" si="8"/>
        <v>1637.0700088538038</v>
      </c>
      <c r="I39" s="47">
        <f t="shared" si="8"/>
        <v>1769.4218645573806</v>
      </c>
      <c r="J39" s="94"/>
      <c r="K39" s="1"/>
      <c r="L39" s="94"/>
      <c r="M39" s="94"/>
    </row>
    <row r="40" spans="1:13" s="2" customFormat="1">
      <c r="A40"/>
      <c r="B40" s="88" t="s">
        <v>416</v>
      </c>
      <c r="C40" s="88"/>
      <c r="D40" s="94" t="str">
        <f>Data!$C$9</f>
        <v>£m 18/19</v>
      </c>
      <c r="E40" s="181">
        <f t="shared" ref="E40:I40" si="9">E41*(1-E36)</f>
        <v>1082.6828302792228</v>
      </c>
      <c r="F40" s="182">
        <f t="shared" si="9"/>
        <v>1149.1534486793341</v>
      </c>
      <c r="G40" s="182">
        <f t="shared" si="9"/>
        <v>1251.6795765734996</v>
      </c>
      <c r="H40" s="182">
        <f t="shared" si="9"/>
        <v>1339.4209163349301</v>
      </c>
      <c r="I40" s="182">
        <f t="shared" si="9"/>
        <v>1447.70879827422</v>
      </c>
      <c r="J40" s="94"/>
      <c r="K40" s="1"/>
      <c r="L40" s="94"/>
      <c r="M40" s="94"/>
    </row>
    <row r="41" spans="1:13" s="2" customFormat="1">
      <c r="A41"/>
      <c r="B41" t="s">
        <v>417</v>
      </c>
      <c r="C41"/>
      <c r="D41" s="94" t="str">
        <f>Data!$C$9</f>
        <v>£m 18/19</v>
      </c>
      <c r="E41" s="50">
        <f>AVERAGE(E15,E24*(1/(1+E37)))</f>
        <v>2405.9618450649396</v>
      </c>
      <c r="F41" s="51">
        <f>AVERAGE(F15,F24*(1/(1+F37)))</f>
        <v>2553.6743303985204</v>
      </c>
      <c r="G41" s="51">
        <f>AVERAGE(G15,G24*(1/(1+G37)))</f>
        <v>2781.510170163333</v>
      </c>
      <c r="H41" s="51">
        <f>AVERAGE(H15,H24*(1/(1+H37)))</f>
        <v>2976.4909251887339</v>
      </c>
      <c r="I41" s="51">
        <f>AVERAGE(I15,I24*(1/(1+I37)))</f>
        <v>3217.1306628316006</v>
      </c>
      <c r="J41" s="94"/>
      <c r="K41" s="1"/>
      <c r="L41" s="94"/>
      <c r="M41" s="94"/>
    </row>
    <row r="42" spans="1:13" s="2" customFormat="1">
      <c r="A42"/>
      <c r="B42"/>
      <c r="C42"/>
      <c r="D42" s="94"/>
      <c r="E42" s="94"/>
      <c r="F42" s="94"/>
      <c r="G42" s="94"/>
      <c r="H42" s="94"/>
      <c r="I42" s="94"/>
      <c r="J42" s="94"/>
      <c r="K42" s="1"/>
      <c r="L42" s="94"/>
      <c r="M42" s="94"/>
    </row>
    <row r="43" spans="1:13" s="2" customFormat="1">
      <c r="A43"/>
      <c r="B43" s="88" t="s">
        <v>418</v>
      </c>
      <c r="C43" s="88"/>
      <c r="D43" s="94" t="str">
        <f>Data!$C$9</f>
        <v>£m 18/19</v>
      </c>
      <c r="E43" s="415">
        <f>E34*E39</f>
        <v>27.127219803107195</v>
      </c>
      <c r="F43" s="416">
        <f t="shared" ref="E43:I44" si="10">F34*F39</f>
        <v>26.68589675266454</v>
      </c>
      <c r="G43" s="416">
        <f t="shared" si="10"/>
        <v>27.99589986269395</v>
      </c>
      <c r="H43" s="416">
        <f t="shared" si="10"/>
        <v>29.139846157597706</v>
      </c>
      <c r="I43" s="416">
        <f t="shared" si="10"/>
        <v>30.964882629754161</v>
      </c>
      <c r="J43" s="94"/>
      <c r="K43" s="1"/>
      <c r="L43" s="94"/>
      <c r="M43" s="94"/>
    </row>
    <row r="44" spans="1:13">
      <c r="B44" s="88" t="s">
        <v>419</v>
      </c>
      <c r="C44" s="88"/>
      <c r="D44" s="94" t="str">
        <f>Data!$C$9</f>
        <v>£m 18/19</v>
      </c>
      <c r="E44" s="43">
        <f t="shared" si="10"/>
        <v>45.948463600897384</v>
      </c>
      <c r="F44" s="44">
        <f t="shared" si="10"/>
        <v>48.972430623240378</v>
      </c>
      <c r="G44" s="44">
        <f t="shared" si="10"/>
        <v>53.056340755534478</v>
      </c>
      <c r="H44" s="44">
        <f t="shared" si="10"/>
        <v>56.988516744968685</v>
      </c>
      <c r="I44" s="44">
        <f t="shared" si="10"/>
        <v>61.796105062138047</v>
      </c>
      <c r="J44" s="94"/>
      <c r="K44" s="1"/>
      <c r="L44" s="94"/>
      <c r="M44" s="94"/>
    </row>
    <row r="45" spans="1:13">
      <c r="B45" t="s">
        <v>420</v>
      </c>
      <c r="D45" s="94" t="str">
        <f>Data!$C$9</f>
        <v>£m 18/19</v>
      </c>
      <c r="E45" s="50">
        <f>SUM(E43:E44)</f>
        <v>73.075683404004579</v>
      </c>
      <c r="F45" s="51">
        <f t="shared" ref="F45:I45" si="11">SUM(F43:F44)</f>
        <v>75.658327375904918</v>
      </c>
      <c r="G45" s="51">
        <f t="shared" si="11"/>
        <v>81.052240618228424</v>
      </c>
      <c r="H45" s="51">
        <f t="shared" si="11"/>
        <v>86.128362902566394</v>
      </c>
      <c r="I45" s="51">
        <f t="shared" si="11"/>
        <v>92.760987691892211</v>
      </c>
      <c r="J45" s="94"/>
      <c r="K45" s="1"/>
      <c r="L45" s="94"/>
      <c r="M45" s="94"/>
    </row>
    <row r="46" spans="1:13">
      <c r="J46" s="94"/>
      <c r="K46" s="1"/>
      <c r="L46" s="94"/>
      <c r="M46" s="94"/>
    </row>
    <row r="47" spans="1:13">
      <c r="B47" s="88"/>
      <c r="C47" s="88"/>
      <c r="D47" s="75"/>
      <c r="E47" s="255"/>
      <c r="F47" s="255"/>
      <c r="G47" s="255"/>
      <c r="H47" s="255"/>
      <c r="I47" s="255"/>
      <c r="J47" s="94"/>
      <c r="K47" s="1"/>
      <c r="L47" s="94"/>
      <c r="M47" s="94"/>
    </row>
    <row r="48" spans="1:13">
      <c r="B48" s="88"/>
      <c r="C48" s="88"/>
      <c r="D48" s="75"/>
      <c r="E48" s="255"/>
      <c r="F48" s="255"/>
      <c r="G48" s="255"/>
      <c r="H48" s="255"/>
      <c r="I48" s="255"/>
      <c r="J48" s="94"/>
      <c r="K48" s="1"/>
      <c r="L48" s="94"/>
      <c r="M48" s="94"/>
    </row>
    <row r="49" spans="2:13">
      <c r="D49" s="75"/>
      <c r="E49" s="242"/>
      <c r="F49" s="242"/>
      <c r="G49" s="242"/>
      <c r="H49" s="242"/>
      <c r="I49" s="242"/>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55"/>
      <c r="F56" s="255"/>
      <c r="G56" s="255"/>
      <c r="H56" s="255"/>
      <c r="I56" s="255"/>
      <c r="J56" s="6"/>
    </row>
    <row r="57" spans="2:13">
      <c r="B57" s="88"/>
      <c r="C57" s="88"/>
      <c r="D57" s="75"/>
      <c r="E57" s="242"/>
      <c r="F57" s="242"/>
      <c r="G57" s="242"/>
      <c r="H57" s="242"/>
      <c r="I57" s="242"/>
    </row>
    <row r="58" spans="2:13">
      <c r="D58" s="75"/>
      <c r="E58" s="255"/>
      <c r="F58" s="255"/>
      <c r="G58" s="255"/>
      <c r="H58" s="255"/>
      <c r="I58" s="255"/>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6:H6">
    <cfRule type="expression" dxfId="27" priority="15">
      <formula>AND(E$5="Actuals",F$5="Forecast")</formula>
    </cfRule>
  </conditionalFormatting>
  <conditionalFormatting sqref="I6">
    <cfRule type="expression" dxfId="26" priority="256">
      <formula>AND(I$5="Actuals",#REF!="Forecast")</formula>
    </cfRule>
  </conditionalFormatting>
  <conditionalFormatting sqref="E7:I7">
    <cfRule type="expression" dxfId="25"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8" activePane="bottomLeft" state="frozen"/>
      <selection activeCell="B3" sqref="B3:F3"/>
      <selection pane="bottomLeft" activeCell="B3" sqref="B3"/>
    </sheetView>
  </sheetViews>
  <sheetFormatPr defaultRowHeight="12.75"/>
  <cols>
    <col min="1" max="1" width="8.375" customWidth="1"/>
    <col min="2" max="2" width="62.75" customWidth="1"/>
    <col min="3" max="3" width="5.125" customWidth="1"/>
    <col min="4" max="4" width="14.125" customWidth="1"/>
    <col min="5" max="9" width="11.125" customWidth="1"/>
    <col min="10" max="10" width="7.75" customWidth="1"/>
  </cols>
  <sheetData>
    <row r="1" spans="1:14" ht="20.25">
      <c r="A1" s="677" t="s">
        <v>146</v>
      </c>
      <c r="B1" s="400"/>
      <c r="C1" s="400"/>
      <c r="D1" s="401"/>
      <c r="E1" s="401"/>
      <c r="F1" s="401"/>
      <c r="G1" s="401"/>
      <c r="H1" s="401"/>
      <c r="I1" s="401"/>
      <c r="J1" s="684"/>
    </row>
    <row r="2" spans="1:14" ht="20.25">
      <c r="A2" s="299" t="str">
        <f>Licensee</f>
        <v>SPT</v>
      </c>
      <c r="B2" s="16"/>
      <c r="C2" s="16"/>
      <c r="D2" s="16"/>
      <c r="E2" s="16"/>
      <c r="F2" s="16"/>
      <c r="G2" s="16"/>
      <c r="H2" s="16"/>
      <c r="I2" s="16"/>
      <c r="J2" s="65"/>
    </row>
    <row r="3" spans="1:14" ht="20.25">
      <c r="A3" s="294">
        <f>Reporting_Year</f>
        <v>2022</v>
      </c>
      <c r="B3" s="571"/>
      <c r="C3" s="571"/>
      <c r="D3" s="571"/>
      <c r="E3" s="588"/>
      <c r="F3" s="588"/>
      <c r="G3" s="588"/>
      <c r="H3" s="588"/>
      <c r="I3" s="588"/>
      <c r="J3" s="119"/>
    </row>
    <row r="4" spans="1:14" ht="12.75" customHeight="1">
      <c r="A4" s="120"/>
      <c r="B4" s="121"/>
      <c r="C4" s="121"/>
      <c r="D4" s="120"/>
      <c r="E4" s="527">
        <f>IF(E5="Actuals",1,0)</f>
        <v>0</v>
      </c>
      <c r="F4" s="527">
        <f t="shared" ref="F4:I4" si="0">IF(F5="Actuals",1,0)</f>
        <v>0</v>
      </c>
      <c r="G4" s="527">
        <f t="shared" si="0"/>
        <v>0</v>
      </c>
      <c r="H4" s="527">
        <f t="shared" si="0"/>
        <v>0</v>
      </c>
      <c r="I4" s="527">
        <f t="shared" si="0"/>
        <v>0</v>
      </c>
      <c r="J4" s="122"/>
      <c r="K4" s="121"/>
    </row>
    <row r="5" spans="1:14" s="2" customFormat="1">
      <c r="B5" s="3"/>
      <c r="C5" s="3"/>
      <c r="D5" s="3"/>
      <c r="E5" s="153" t="str">
        <f>IF(E6+1&lt;=Reporting_Year,"Actuals","Forecast")</f>
        <v>Forecast</v>
      </c>
      <c r="F5" s="153" t="str">
        <f>IF(F6+1&lt;=Reporting_Year,"Actuals","Forecast")</f>
        <v>Forecast</v>
      </c>
      <c r="G5" s="153" t="str">
        <f>IF(G6+1&lt;=Reporting_Year,"Actuals","Forecast")</f>
        <v>Forecast</v>
      </c>
      <c r="H5" s="153" t="str">
        <f>IF(H6+1&lt;=Reporting_Year,"Actuals","Forecast")</f>
        <v>Forecast</v>
      </c>
      <c r="I5" s="153"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5" t="str">
        <f>RIIO_2_start_date+3&amp;"/"&amp;RIGHT(RIIO_2_start_date+4,2)</f>
        <v>2025/26</v>
      </c>
    </row>
    <row r="8" spans="1:14" s="2" customFormat="1">
      <c r="B8" s="626" t="s">
        <v>421</v>
      </c>
      <c r="C8" s="145"/>
      <c r="D8" s="625"/>
      <c r="E8" s="625"/>
      <c r="F8" s="625"/>
      <c r="G8" s="625"/>
      <c r="H8" s="625"/>
      <c r="I8" s="625"/>
    </row>
    <row r="9" spans="1:14" s="2" customFormat="1" ht="34.5" customHeight="1">
      <c r="B9" s="748" t="s">
        <v>422</v>
      </c>
      <c r="C9" s="748"/>
      <c r="D9" s="748"/>
      <c r="E9" s="748"/>
      <c r="F9" s="748"/>
      <c r="G9" s="748"/>
      <c r="H9" s="748"/>
      <c r="I9" s="748"/>
    </row>
    <row r="10" spans="1:14" s="2" customFormat="1">
      <c r="B10" s="160"/>
      <c r="C10" s="160"/>
    </row>
    <row r="11" spans="1:14" s="2" customFormat="1">
      <c r="B11" s="6" t="s">
        <v>423</v>
      </c>
      <c r="C11" s="6"/>
      <c r="D11" s="75" t="s">
        <v>194</v>
      </c>
      <c r="E11" s="610"/>
      <c r="F11" s="610"/>
      <c r="G11" s="610"/>
      <c r="H11" s="610"/>
      <c r="I11" s="610"/>
      <c r="J11"/>
    </row>
    <row r="12" spans="1:14" s="2" customFormat="1">
      <c r="B12" s="661"/>
      <c r="C12" s="6"/>
      <c r="D12" s="75"/>
      <c r="E12" s="526"/>
      <c r="F12" s="526"/>
      <c r="G12" s="526"/>
      <c r="H12" s="526"/>
      <c r="I12" s="526"/>
      <c r="J12"/>
    </row>
    <row r="13" spans="1:14">
      <c r="B13" s="6" t="s">
        <v>424</v>
      </c>
      <c r="C13" s="6"/>
      <c r="D13" s="75"/>
      <c r="E13" s="75"/>
      <c r="F13" s="75"/>
      <c r="G13" s="75"/>
      <c r="H13" s="75"/>
      <c r="I13" s="75"/>
      <c r="M13" s="2"/>
      <c r="N13" s="2"/>
    </row>
    <row r="14" spans="1:14">
      <c r="B14" s="146" t="s">
        <v>425</v>
      </c>
      <c r="C14" s="146"/>
      <c r="D14" s="75" t="s">
        <v>194</v>
      </c>
      <c r="E14" s="610"/>
      <c r="F14" s="610"/>
      <c r="G14" s="610"/>
      <c r="H14" s="610"/>
      <c r="I14" s="610"/>
      <c r="M14" s="2"/>
      <c r="N14" s="2"/>
    </row>
    <row r="15" spans="1:14">
      <c r="B15" s="146" t="s">
        <v>426</v>
      </c>
      <c r="C15" s="146"/>
      <c r="D15" s="75" t="s">
        <v>194</v>
      </c>
      <c r="E15" s="610"/>
      <c r="F15" s="610"/>
      <c r="G15" s="610"/>
      <c r="H15" s="610"/>
      <c r="I15" s="610"/>
      <c r="M15" s="2"/>
      <c r="N15" s="2"/>
    </row>
    <row r="16" spans="1:14">
      <c r="B16" s="146" t="s">
        <v>427</v>
      </c>
      <c r="C16" s="146"/>
      <c r="D16" s="75" t="s">
        <v>194</v>
      </c>
      <c r="E16" s="610"/>
      <c r="F16" s="610"/>
      <c r="G16" s="610"/>
      <c r="H16" s="610"/>
      <c r="I16" s="610"/>
      <c r="M16" s="2"/>
      <c r="N16" s="2"/>
    </row>
    <row r="17" spans="2:38">
      <c r="B17" s="146" t="s">
        <v>428</v>
      </c>
      <c r="C17" s="146"/>
      <c r="D17" s="75" t="s">
        <v>194</v>
      </c>
      <c r="E17" s="610"/>
      <c r="F17" s="610"/>
      <c r="G17" s="610"/>
      <c r="H17" s="610"/>
      <c r="I17" s="610"/>
      <c r="M17" s="2"/>
      <c r="N17" s="2"/>
    </row>
    <row r="18" spans="2:38">
      <c r="B18" s="620" t="s">
        <v>429</v>
      </c>
      <c r="C18" s="620"/>
      <c r="D18" s="75" t="s">
        <v>194</v>
      </c>
      <c r="E18" s="217">
        <f>SUM(E14:E17)</f>
        <v>0</v>
      </c>
      <c r="F18" s="218">
        <f t="shared" ref="F18:I18" si="2">SUM(F14:F17)</f>
        <v>0</v>
      </c>
      <c r="G18" s="218">
        <f t="shared" si="2"/>
        <v>0</v>
      </c>
      <c r="H18" s="218">
        <f t="shared" si="2"/>
        <v>0</v>
      </c>
      <c r="I18" s="218">
        <f t="shared" si="2"/>
        <v>0</v>
      </c>
      <c r="M18" s="2"/>
      <c r="N18" s="2"/>
    </row>
    <row r="19" spans="2:38">
      <c r="B19" s="146"/>
      <c r="C19" s="146"/>
      <c r="D19" s="146"/>
      <c r="E19" s="621"/>
      <c r="F19" s="621"/>
      <c r="G19" s="621"/>
      <c r="H19" s="621"/>
      <c r="I19" s="621"/>
    </row>
    <row r="20" spans="2:38">
      <c r="B20" s="6" t="s">
        <v>343</v>
      </c>
      <c r="C20" s="6"/>
      <c r="D20" s="75"/>
      <c r="E20" s="75"/>
      <c r="F20" s="622"/>
      <c r="G20" s="622"/>
      <c r="H20" s="622"/>
      <c r="I20" s="622"/>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430</v>
      </c>
      <c r="C21" s="623"/>
      <c r="D21" s="75" t="s">
        <v>194</v>
      </c>
      <c r="E21" s="518">
        <f>('R4 - Incentives and Other Rev'!D67+'R4 - Incentives and Other Rev'!D40+'R4 - Incentives and Other Rev'!D47)/(1-INDEX(Corporate_Tax,MATCH($E$6,Data!$C$15:$N$15,0)))*INDEX(Corporate_Tax,MATCH($E$6,Data!$C$15:$N$15,0))</f>
        <v>0.32207808454058068</v>
      </c>
      <c r="F21" s="518">
        <f>('R4 - Incentives and Other Rev'!E67+'R4 - Incentives and Other Rev'!E40+'R4 - Incentives and Other Rev'!E47)/(1-INDEX(Corporate_Tax,MATCH($E$6,Data!$C$15:$N$15,0)))*INDEX(Corporate_Tax,MATCH($E$6,Data!$C$15:$N$15,0))</f>
        <v>0.63465979593903665</v>
      </c>
      <c r="G21" s="518">
        <f>('R4 - Incentives and Other Rev'!F67+'R4 - Incentives and Other Rev'!F40+'R4 - Incentives and Other Rev'!F47)/(1-INDEX(Corporate_Tax,MATCH($E$6,Data!$C$15:$N$15,0)))*INDEX(Corporate_Tax,MATCH($E$6,Data!$C$15:$N$15,0))</f>
        <v>0.71231779971188336</v>
      </c>
      <c r="H21" s="518">
        <f>('R4 - Incentives and Other Rev'!G67+'R4 - Incentives and Other Rev'!G40+'R4 - Incentives and Other Rev'!G47)/(1-INDEX(Corporate_Tax,MATCH($E$6,Data!$C$15:$N$15,0)))*INDEX(Corporate_Tax,MATCH($E$6,Data!$C$15:$N$15,0))</f>
        <v>0.71231779971188336</v>
      </c>
      <c r="I21" s="518">
        <f>('R4 - Incentives and Other Rev'!H67+'R4 - Incentives and Other Rev'!H40+'R4 - Incentives and Other Rev'!H47)/(1-INDEX(Corporate_Tax,MATCH($E$6,Data!$C$15:$N$15,0)))*INDEX(Corporate_Tax,MATCH($E$6,Data!$C$15:$N$15,0))</f>
        <v>0.85361369197552961</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431</v>
      </c>
      <c r="C22" s="146"/>
      <c r="D22" s="75" t="s">
        <v>194</v>
      </c>
      <c r="E22" s="610"/>
      <c r="F22" s="610"/>
      <c r="G22" s="610"/>
      <c r="H22" s="610"/>
      <c r="I22" s="610"/>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432</v>
      </c>
      <c r="C23" s="146"/>
      <c r="D23" s="75" t="s">
        <v>194</v>
      </c>
      <c r="E23" s="610"/>
      <c r="F23" s="610"/>
      <c r="G23" s="610"/>
      <c r="H23" s="610"/>
      <c r="I23" s="610"/>
    </row>
    <row r="24" spans="2:38">
      <c r="B24" s="146" t="s">
        <v>433</v>
      </c>
      <c r="C24" s="146"/>
      <c r="D24" s="75" t="s">
        <v>194</v>
      </c>
      <c r="E24" s="610"/>
      <c r="F24" s="610"/>
      <c r="G24" s="610"/>
      <c r="H24" s="610"/>
      <c r="I24" s="610"/>
    </row>
    <row r="25" spans="2:38">
      <c r="B25" s="146" t="s">
        <v>434</v>
      </c>
      <c r="C25" s="146"/>
      <c r="D25" s="75" t="s">
        <v>194</v>
      </c>
      <c r="E25" s="610"/>
      <c r="F25" s="610"/>
      <c r="G25" s="610"/>
      <c r="H25" s="610"/>
      <c r="I25" s="610"/>
    </row>
    <row r="26" spans="2:38">
      <c r="B26" s="146" t="s">
        <v>435</v>
      </c>
      <c r="C26" s="146"/>
      <c r="D26" s="75" t="s">
        <v>194</v>
      </c>
      <c r="E26" s="610"/>
      <c r="F26" s="610"/>
      <c r="G26" s="610"/>
      <c r="H26" s="610"/>
      <c r="I26" s="610"/>
    </row>
    <row r="27" spans="2:38">
      <c r="B27" s="146" t="s">
        <v>435</v>
      </c>
      <c r="C27" s="146"/>
      <c r="D27" s="75" t="s">
        <v>194</v>
      </c>
      <c r="E27" s="610"/>
      <c r="F27" s="610"/>
      <c r="G27" s="610"/>
      <c r="H27" s="610"/>
      <c r="I27" s="610"/>
    </row>
    <row r="28" spans="2:38">
      <c r="B28" s="146" t="s">
        <v>435</v>
      </c>
      <c r="C28" s="146"/>
      <c r="D28" s="75" t="s">
        <v>194</v>
      </c>
      <c r="E28" s="610"/>
      <c r="F28" s="610"/>
      <c r="G28" s="610"/>
      <c r="H28" s="610"/>
      <c r="I28" s="610"/>
    </row>
    <row r="29" spans="2:38">
      <c r="B29" s="146" t="s">
        <v>435</v>
      </c>
      <c r="C29" s="146"/>
      <c r="D29" s="75" t="s">
        <v>194</v>
      </c>
      <c r="E29" s="610"/>
      <c r="F29" s="610"/>
      <c r="G29" s="610"/>
      <c r="H29" s="610"/>
      <c r="I29" s="610"/>
    </row>
    <row r="30" spans="2:38">
      <c r="B30" s="146" t="s">
        <v>436</v>
      </c>
      <c r="C30" s="146"/>
      <c r="D30" s="75" t="s">
        <v>194</v>
      </c>
      <c r="E30" s="610"/>
      <c r="F30" s="610"/>
      <c r="G30" s="610"/>
      <c r="H30" s="610"/>
      <c r="I30" s="610"/>
    </row>
    <row r="31" spans="2:38">
      <c r="B31" s="6" t="s">
        <v>206</v>
      </c>
      <c r="C31" s="6"/>
      <c r="D31" s="75" t="s">
        <v>194</v>
      </c>
      <c r="E31" s="241">
        <f>SUM(E21:E30)</f>
        <v>0.32207808454058068</v>
      </c>
      <c r="F31" s="624">
        <f>SUM(F21:F30)</f>
        <v>0.63465979593903665</v>
      </c>
      <c r="G31" s="624">
        <f>SUM(G21:G30)</f>
        <v>0.71231779971188336</v>
      </c>
      <c r="H31" s="624">
        <f>SUM(H21:H30)</f>
        <v>0.71231779971188336</v>
      </c>
      <c r="I31" s="624">
        <f>SUM(I21:I30)</f>
        <v>0.85361369197552961</v>
      </c>
    </row>
    <row r="33" spans="2:11" ht="25.5" customHeight="1">
      <c r="B33" s="381" t="s">
        <v>437</v>
      </c>
      <c r="D33" s="75" t="s">
        <v>194</v>
      </c>
      <c r="E33" s="610">
        <v>18.80563523386741</v>
      </c>
      <c r="F33" s="610">
        <v>18.833956906001841</v>
      </c>
      <c r="G33" s="610">
        <v>48.901223068242047</v>
      </c>
      <c r="H33" s="610">
        <v>50.15494235789437</v>
      </c>
      <c r="I33" s="610">
        <v>45.82095022889078</v>
      </c>
    </row>
    <row r="34" spans="2:11" ht="12.75" customHeight="1">
      <c r="B34" s="381" t="s">
        <v>438</v>
      </c>
      <c r="C34" s="381"/>
      <c r="D34" s="75" t="s">
        <v>194</v>
      </c>
      <c r="E34" s="241">
        <f>E11+E33-E18-E31</f>
        <v>18.483557149326828</v>
      </c>
      <c r="F34" s="241">
        <f>F11+F33-F18-F31</f>
        <v>18.199297110062805</v>
      </c>
      <c r="G34" s="241">
        <f>G11+G33-G18-G31</f>
        <v>48.188905268530164</v>
      </c>
      <c r="H34" s="241">
        <f>H11+H33-H18-H31</f>
        <v>49.442624558182487</v>
      </c>
      <c r="I34" s="241">
        <f>I11+I33-I18-I31</f>
        <v>44.967336536915248</v>
      </c>
    </row>
    <row r="35" spans="2:11" ht="12.75" customHeight="1">
      <c r="B35" s="380"/>
      <c r="C35" s="380"/>
      <c r="D35" s="75"/>
      <c r="E35" s="526"/>
      <c r="F35" s="526"/>
      <c r="G35" s="526"/>
      <c r="H35" s="526"/>
      <c r="I35" s="526"/>
    </row>
    <row r="36" spans="2:11">
      <c r="B36" t="s">
        <v>322</v>
      </c>
      <c r="D36" s="90" t="s">
        <v>323</v>
      </c>
      <c r="E36" s="59">
        <f t="shared" ref="E36:I36" si="3">INDEX(real_to_nominal_CF,MATCH(E$6,calendar_year,0))</f>
        <v>1.0847835302284383</v>
      </c>
      <c r="F36" s="59">
        <f t="shared" si="3"/>
        <v>1.1682111694202062</v>
      </c>
      <c r="G36" s="59">
        <f t="shared" si="3"/>
        <v>1.2070548174037865</v>
      </c>
      <c r="H36" s="59">
        <f t="shared" si="3"/>
        <v>1.2275072378847331</v>
      </c>
      <c r="I36" s="59">
        <f t="shared" si="3"/>
        <v>1.2509585044470788</v>
      </c>
    </row>
    <row r="37" spans="2:11">
      <c r="B37" s="380"/>
      <c r="C37" s="380"/>
      <c r="D37" s="75"/>
      <c r="E37" s="75"/>
      <c r="F37" s="75"/>
      <c r="G37" s="75"/>
      <c r="H37" s="75"/>
      <c r="I37" s="75"/>
    </row>
    <row r="38" spans="2:11">
      <c r="B38" s="381" t="s">
        <v>439</v>
      </c>
      <c r="C38" s="381"/>
      <c r="D38" s="94" t="str">
        <f>Data!$C$9</f>
        <v>£m 18/19</v>
      </c>
      <c r="E38" s="241">
        <f>Adjusted_regulated_tax_liability/E36</f>
        <v>17.038936003604775</v>
      </c>
      <c r="F38" s="241">
        <f>Adjusted_regulated_tax_liability/F36</f>
        <v>15.578773415679017</v>
      </c>
      <c r="G38" s="241">
        <f>Adjusted_regulated_tax_liability/G36</f>
        <v>39.922714837573039</v>
      </c>
      <c r="H38" s="241">
        <f>Adjusted_regulated_tax_liability/H36</f>
        <v>40.278886374130941</v>
      </c>
      <c r="I38" s="241">
        <f>Adjusted_regulated_tax_liability/I36</f>
        <v>35.946305474609424</v>
      </c>
    </row>
    <row r="39" spans="2:11">
      <c r="B39" s="381"/>
      <c r="C39" s="381"/>
      <c r="D39" s="381"/>
      <c r="E39" s="381"/>
      <c r="F39" s="381"/>
      <c r="G39" s="381"/>
      <c r="H39" s="381"/>
      <c r="I39" s="381"/>
    </row>
    <row r="40" spans="2:11">
      <c r="B40" s="262" t="s">
        <v>440</v>
      </c>
      <c r="C40" s="262"/>
      <c r="D40" s="94"/>
      <c r="E40" s="94"/>
      <c r="F40" s="94"/>
      <c r="G40" s="94"/>
      <c r="H40" s="94"/>
      <c r="I40" s="94"/>
    </row>
    <row r="41" spans="2:11">
      <c r="B41" s="145" t="s">
        <v>329</v>
      </c>
      <c r="C41" s="145"/>
      <c r="D41" s="381"/>
      <c r="E41" s="381"/>
      <c r="F41" s="381"/>
      <c r="G41" s="381"/>
      <c r="H41" s="381"/>
      <c r="I41" s="381"/>
      <c r="K41" s="381"/>
    </row>
    <row r="42" spans="2:11">
      <c r="K42" s="381"/>
    </row>
    <row r="43" spans="2:11" ht="12.75" customHeight="1">
      <c r="B43" s="88" t="s">
        <v>24</v>
      </c>
      <c r="C43" s="88"/>
      <c r="D43" s="38" t="s">
        <v>158</v>
      </c>
      <c r="E43" s="290">
        <f>Data!$C$8</f>
        <v>0.55000000000000004</v>
      </c>
      <c r="F43" s="291">
        <f>Data!$C$8</f>
        <v>0.55000000000000004</v>
      </c>
      <c r="G43" s="291">
        <f>Data!$C$8</f>
        <v>0.55000000000000004</v>
      </c>
      <c r="H43" s="291">
        <f>Data!$C$8</f>
        <v>0.55000000000000004</v>
      </c>
      <c r="I43" s="291">
        <f>Data!$C$8</f>
        <v>0.55000000000000004</v>
      </c>
      <c r="K43" s="381"/>
    </row>
    <row r="44" spans="2:11" ht="12.75" customHeight="1">
      <c r="B44" s="88" t="s">
        <v>330</v>
      </c>
      <c r="C44" s="88"/>
      <c r="D44" s="38" t="s">
        <v>158</v>
      </c>
      <c r="E44" s="290">
        <f>'R6 - Net Debt'!D58</f>
        <v>0.540783611094795</v>
      </c>
      <c r="F44" s="291">
        <f>'R6 - Net Debt'!E58</f>
        <v>0.55006857225569517</v>
      </c>
      <c r="G44" s="291">
        <f>'R6 - Net Debt'!F58</f>
        <v>0.56773009000510133</v>
      </c>
      <c r="H44" s="291">
        <f>'R6 - Net Debt'!G58</f>
        <v>0.56108509239439219</v>
      </c>
      <c r="I44" s="291">
        <f>'R6 - Net Debt'!H58</f>
        <v>0.55000000000000004</v>
      </c>
      <c r="K44" s="381"/>
    </row>
    <row r="45" spans="2:11" ht="12.75" customHeight="1">
      <c r="B45" s="88"/>
      <c r="C45" s="88"/>
      <c r="D45" s="38"/>
      <c r="E45" s="38"/>
      <c r="F45" s="38"/>
      <c r="G45" s="38"/>
      <c r="H45" s="38"/>
      <c r="I45" s="38"/>
      <c r="K45" s="381"/>
    </row>
    <row r="46" spans="2:11" ht="12.75" customHeight="1">
      <c r="B46" s="381" t="s">
        <v>439</v>
      </c>
      <c r="C46" s="381"/>
      <c r="D46" s="75" t="s">
        <v>194</v>
      </c>
      <c r="E46" s="241">
        <f>E34</f>
        <v>18.483557149326828</v>
      </c>
      <c r="F46" s="241">
        <f>F34</f>
        <v>18.199297110062805</v>
      </c>
      <c r="G46" s="241">
        <f>G34</f>
        <v>48.188905268530164</v>
      </c>
      <c r="H46" s="241">
        <f>H34</f>
        <v>49.442624558182487</v>
      </c>
      <c r="I46" s="241">
        <f>I34</f>
        <v>44.967336536915248</v>
      </c>
      <c r="K46" s="381"/>
    </row>
    <row r="47" spans="2:11">
      <c r="B47" s="88" t="s">
        <v>441</v>
      </c>
      <c r="C47" s="88"/>
      <c r="D47" s="75" t="s">
        <v>194</v>
      </c>
      <c r="E47" s="241">
        <f>E64-E66</f>
        <v>-0.11451548341932671</v>
      </c>
      <c r="F47" s="241">
        <f t="shared" ref="F47:I47" si="4">F64-F66</f>
        <v>1.9727156280957558E-3</v>
      </c>
      <c r="G47" s="241">
        <f t="shared" si="4"/>
        <v>9.4800329318015741E-2</v>
      </c>
      <c r="H47" s="241">
        <f t="shared" si="4"/>
        <v>-9.6946361067115738E-2</v>
      </c>
      <c r="I47" s="241">
        <f t="shared" si="4"/>
        <v>0</v>
      </c>
      <c r="K47" s="381"/>
    </row>
    <row r="48" spans="2:11">
      <c r="B48" s="88" t="s">
        <v>442</v>
      </c>
      <c r="C48" s="88"/>
      <c r="D48" s="75" t="s">
        <v>194</v>
      </c>
      <c r="E48" s="241">
        <f>SUM(E46:E47)</f>
        <v>18.369041665907503</v>
      </c>
      <c r="F48" s="241">
        <f t="shared" ref="F48:I48" si="5">SUM(F46:F47)</f>
        <v>18.2012698256909</v>
      </c>
      <c r="G48" s="241">
        <f t="shared" si="5"/>
        <v>48.283705597848183</v>
      </c>
      <c r="H48" s="241">
        <f t="shared" si="5"/>
        <v>49.345678197115369</v>
      </c>
      <c r="I48" s="241">
        <f t="shared" si="5"/>
        <v>44.967336536915248</v>
      </c>
    </row>
    <row r="50" spans="2:11">
      <c r="B50" s="88" t="s">
        <v>442</v>
      </c>
      <c r="C50" s="88"/>
      <c r="D50" s="94" t="str">
        <f>Data!$C$9</f>
        <v>£m 18/19</v>
      </c>
      <c r="E50" s="241">
        <f>E48/E36</f>
        <v>16.933370717786683</v>
      </c>
      <c r="F50" s="241">
        <f t="shared" ref="F50:I50" si="6">F48/F36</f>
        <v>15.580462079235517</v>
      </c>
      <c r="G50" s="241">
        <f t="shared" si="6"/>
        <v>40.00125338275852</v>
      </c>
      <c r="H50" s="241">
        <f t="shared" si="6"/>
        <v>40.199908134268036</v>
      </c>
      <c r="I50" s="241">
        <f t="shared" si="6"/>
        <v>35.946305474609424</v>
      </c>
    </row>
    <row r="52" spans="2:11">
      <c r="B52" s="248" t="s">
        <v>443</v>
      </c>
      <c r="C52" s="248"/>
      <c r="D52" s="249"/>
      <c r="E52" s="249"/>
      <c r="F52" s="249"/>
      <c r="G52" s="249"/>
      <c r="H52" s="249"/>
      <c r="I52" s="249"/>
      <c r="J52" s="249"/>
      <c r="K52" s="381"/>
    </row>
    <row r="53" spans="2:11" ht="12.6" customHeight="1">
      <c r="D53" s="94"/>
      <c r="E53" s="674"/>
      <c r="F53" s="674"/>
      <c r="G53" s="674"/>
      <c r="H53" s="674"/>
      <c r="I53" s="674"/>
    </row>
    <row r="54" spans="2:11">
      <c r="B54" t="s">
        <v>444</v>
      </c>
      <c r="D54" s="94" t="str">
        <f>Data!$C$9</f>
        <v>£m 18/19</v>
      </c>
      <c r="E54" s="594">
        <v>8.55741597097051</v>
      </c>
      <c r="F54" s="594">
        <v>1.9966185789835222</v>
      </c>
      <c r="G54" s="594">
        <v>32.519080082360389</v>
      </c>
      <c r="H54" s="594">
        <v>32.198265051356401</v>
      </c>
      <c r="I54" s="594">
        <v>24.306503114347905</v>
      </c>
    </row>
    <row r="55" spans="2:11">
      <c r="D55" s="94"/>
      <c r="E55" s="94"/>
      <c r="F55" s="94"/>
      <c r="G55" s="94"/>
      <c r="H55" s="94"/>
      <c r="I55" s="94"/>
      <c r="J55" s="94"/>
    </row>
    <row r="56" spans="2:11">
      <c r="B56" s="265" t="s">
        <v>338</v>
      </c>
      <c r="C56" s="265"/>
      <c r="D56" s="265"/>
      <c r="E56" s="265"/>
      <c r="F56" s="265"/>
      <c r="G56" s="265"/>
      <c r="H56" s="265"/>
      <c r="I56" s="265"/>
      <c r="J56" s="265"/>
    </row>
    <row r="58" spans="2:11">
      <c r="B58" s="6" t="s">
        <v>445</v>
      </c>
      <c r="C58" s="6"/>
      <c r="D58" s="95" t="str">
        <f>Data!$C$9</f>
        <v>£m 18/19</v>
      </c>
      <c r="E58" s="211">
        <f>E$54-E38</f>
        <v>-8.4815200326342648</v>
      </c>
      <c r="F58" s="211">
        <f>F$54-F38</f>
        <v>-13.582154836695494</v>
      </c>
      <c r="G58" s="211">
        <f>G$54-G38</f>
        <v>-7.40363475521265</v>
      </c>
      <c r="H58" s="211">
        <f>H$54-H38</f>
        <v>-8.0806213227745403</v>
      </c>
      <c r="I58" s="211">
        <f>I$54-I38</f>
        <v>-11.63980236026152</v>
      </c>
    </row>
    <row r="59" spans="2:11">
      <c r="B59" s="6"/>
      <c r="C59" s="6"/>
      <c r="D59" s="6"/>
      <c r="E59" s="6"/>
      <c r="F59" s="6"/>
      <c r="G59" s="6"/>
      <c r="H59" s="6"/>
      <c r="I59" s="6"/>
    </row>
    <row r="60" spans="2:11">
      <c r="B60" s="6" t="s">
        <v>446</v>
      </c>
      <c r="C60" s="6"/>
      <c r="D60" s="95" t="str">
        <f>Data!$C$9</f>
        <v>£m 18/19</v>
      </c>
      <c r="E60" s="211">
        <f>E$54-E50</f>
        <v>-8.3759547468161735</v>
      </c>
      <c r="F60" s="211">
        <f>F$54-F50</f>
        <v>-13.583843500251994</v>
      </c>
      <c r="G60" s="211">
        <f>G$54-G50</f>
        <v>-7.4821733003981308</v>
      </c>
      <c r="H60" s="211">
        <f>H$54-H50</f>
        <v>-8.0016430829116345</v>
      </c>
      <c r="I60" s="211">
        <f>I$54-I50</f>
        <v>-11.63980236026152</v>
      </c>
    </row>
    <row r="62" spans="2:11">
      <c r="B62" s="6" t="s">
        <v>447</v>
      </c>
      <c r="C62" s="6"/>
      <c r="D62" s="95" t="str">
        <f>Data!$C$9</f>
        <v>£m 18/19</v>
      </c>
      <c r="E62" s="211">
        <f>E58-E60</f>
        <v>-0.10556528581809133</v>
      </c>
      <c r="F62" s="212">
        <f t="shared" ref="F62:I62" si="7">F58-F60</f>
        <v>1.6886635565001029E-3</v>
      </c>
      <c r="G62" s="212">
        <f t="shared" si="7"/>
        <v>7.8538545185480757E-2</v>
      </c>
      <c r="H62" s="212">
        <f t="shared" si="7"/>
        <v>-7.8978239862905752E-2</v>
      </c>
      <c r="I62" s="212">
        <f t="shared" si="7"/>
        <v>0</v>
      </c>
    </row>
    <row r="64" spans="2:11">
      <c r="B64" t="s">
        <v>448</v>
      </c>
      <c r="D64" s="75" t="s">
        <v>194</v>
      </c>
      <c r="E64" s="656">
        <f>('R5 - Financing'!D83*INDEX(Corporate_Tax,MATCH(E$6,Data!$C$15:$N$15,0))*'R8 - Tax'!E$36)</f>
        <v>12.310505633681961</v>
      </c>
      <c r="F64" s="656">
        <f>('R5 - Financing'!E83*INDEX(Corporate_Tax,MATCH(F$6,Data!$C$15:$N$15,0))*'R8 - Tax'!F$36)</f>
        <v>21.747810030526409</v>
      </c>
      <c r="G64" s="656">
        <f>('R5 - Financing'!F83*INDEX(Corporate_Tax,MATCH(G$6,Data!$C$15:$N$15,0))*'R8 - Tax'!G$36)</f>
        <v>11.483720407416058</v>
      </c>
      <c r="H64" s="656">
        <f>('R5 - Financing'!G83*INDEX(Corporate_Tax,MATCH(H$6,Data!$C$15:$N$15,0))*'R8 - Tax'!H$36)</f>
        <v>4.0352880265913056</v>
      </c>
      <c r="I64" s="656">
        <f>('R5 - Financing'!H83*INDEX(Corporate_Tax,MATCH(I$6,Data!$C$15:$N$15,0))*'R8 - Tax'!I$36)</f>
        <v>5.772508064551638</v>
      </c>
    </row>
    <row r="65" spans="2:9">
      <c r="B65" t="s">
        <v>448</v>
      </c>
      <c r="D65" s="94" t="str">
        <f>Data!$C$9</f>
        <v>£m 18/19</v>
      </c>
      <c r="E65" s="241">
        <f>E64/E$36</f>
        <v>11.34835226627156</v>
      </c>
      <c r="F65" s="241">
        <f t="shared" ref="F65:I65" si="8">F64/F$36</f>
        <v>18.616334614674198</v>
      </c>
      <c r="G65" s="241">
        <f t="shared" si="8"/>
        <v>9.5138350320460212</v>
      </c>
      <c r="H65" s="241">
        <f t="shared" si="8"/>
        <v>3.2873843037740458</v>
      </c>
      <c r="I65" s="241">
        <f t="shared" si="8"/>
        <v>4.6144680611153248</v>
      </c>
    </row>
    <row r="66" spans="2:9">
      <c r="B66" t="s">
        <v>449</v>
      </c>
      <c r="D66" s="75" t="s">
        <v>194</v>
      </c>
      <c r="E66" s="656">
        <f>('R5 - Financing'!D85*INDEX(Corporate_Tax,MATCH(E$6,Data!$C$15:$N$15,0))*'R8 - Tax'!E$36)</f>
        <v>12.425021117101288</v>
      </c>
      <c r="F66" s="656">
        <f>('R5 - Financing'!E85*INDEX(Corporate_Tax,MATCH(F$6,Data!$C$15:$N$15,0))*'R8 - Tax'!F$36)</f>
        <v>21.745837314898314</v>
      </c>
      <c r="G66" s="656">
        <f>('R5 - Financing'!F85*INDEX(Corporate_Tax,MATCH(G$6,Data!$C$15:$N$15,0))*'R8 - Tax'!G$36)</f>
        <v>11.388920078098042</v>
      </c>
      <c r="H66" s="656">
        <f>('R5 - Financing'!G85*INDEX(Corporate_Tax,MATCH(H$6,Data!$C$15:$N$15,0))*'R8 - Tax'!H$36)</f>
        <v>4.1322343876584213</v>
      </c>
      <c r="I66" s="656">
        <f>('R5 - Financing'!H85*INDEX(Corporate_Tax,MATCH(I$6,Data!$C$15:$N$15,0))*'R8 - Tax'!I$36)</f>
        <v>5.772508064551638</v>
      </c>
    </row>
    <row r="67" spans="2:9">
      <c r="B67" t="s">
        <v>449</v>
      </c>
      <c r="D67" s="94" t="str">
        <f>Data!$C$9</f>
        <v>£m 18/19</v>
      </c>
      <c r="E67" s="241">
        <f>E66/E$36</f>
        <v>11.453917552089655</v>
      </c>
      <c r="F67" s="241">
        <f t="shared" ref="F67:I67" si="9">F66/F$36</f>
        <v>18.614645951117698</v>
      </c>
      <c r="G67" s="241">
        <f t="shared" si="9"/>
        <v>9.435296486860544</v>
      </c>
      <c r="H67" s="241">
        <f t="shared" si="9"/>
        <v>3.3663625436369538</v>
      </c>
      <c r="I67" s="241">
        <f t="shared" si="9"/>
        <v>4.6144680611153248</v>
      </c>
    </row>
    <row r="68" spans="2:9">
      <c r="B68" t="s">
        <v>450</v>
      </c>
      <c r="D68" s="94" t="str">
        <f>Data!$C$9</f>
        <v>£m 18/19</v>
      </c>
      <c r="E68" s="241">
        <f>E65-E67</f>
        <v>-0.10556528581809488</v>
      </c>
      <c r="F68" s="241">
        <f t="shared" ref="F68:I68" si="10">F65-F67</f>
        <v>1.6886635565001029E-3</v>
      </c>
      <c r="G68" s="241">
        <f t="shared" si="10"/>
        <v>7.8538545185477204E-2</v>
      </c>
      <c r="H68" s="241">
        <f t="shared" si="10"/>
        <v>-7.8978239862907973E-2</v>
      </c>
      <c r="I68" s="241">
        <f t="shared" si="10"/>
        <v>0</v>
      </c>
    </row>
  </sheetData>
  <mergeCells count="1">
    <mergeCell ref="B9:I9"/>
  </mergeCells>
  <phoneticPr fontId="250" type="noConversion"/>
  <conditionalFormatting sqref="E7:I7">
    <cfRule type="expression" dxfId="24" priority="15">
      <formula>AND(E$5="Actuals",F$5="Forecast")</formula>
    </cfRule>
  </conditionalFormatting>
  <conditionalFormatting sqref="E21:I30">
    <cfRule type="expression" dxfId="23" priority="13">
      <formula>E$5="Forecast"</formula>
    </cfRule>
  </conditionalFormatting>
  <conditionalFormatting sqref="E11:I11">
    <cfRule type="expression" dxfId="22" priority="10">
      <formula>E$5="Forecast"</formula>
    </cfRule>
  </conditionalFormatting>
  <conditionalFormatting sqref="E14:I17">
    <cfRule type="expression" dxfId="21" priority="7">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ignoredErrors>
    <ignoredError sqref="E44:I44"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4" activePane="bottomLeft" state="frozen"/>
      <selection activeCell="B3" sqref="B3:F3"/>
      <selection pane="bottomLeft" activeCell="B2" sqref="B2"/>
    </sheetView>
  </sheetViews>
  <sheetFormatPr defaultRowHeight="12.75"/>
  <cols>
    <col min="1" max="1" width="8.375" customWidth="1"/>
    <col min="2" max="2" width="44.5" customWidth="1"/>
    <col min="3" max="3" width="15.125" customWidth="1"/>
    <col min="4" max="4" width="14.75" customWidth="1"/>
    <col min="5" max="5" width="14.875" customWidth="1"/>
    <col min="6" max="6" width="14.375" customWidth="1"/>
    <col min="7" max="8" width="11.125" customWidth="1"/>
    <col min="9" max="9" width="5" customWidth="1"/>
    <col min="14" max="14" width="13.125" customWidth="1"/>
  </cols>
  <sheetData>
    <row r="1" spans="1:15" ht="20.25">
      <c r="A1" s="677" t="s">
        <v>148</v>
      </c>
      <c r="B1" s="400"/>
      <c r="C1" s="401"/>
      <c r="D1" s="401"/>
      <c r="E1" s="401"/>
      <c r="F1" s="401"/>
      <c r="G1" s="401"/>
      <c r="H1" s="401"/>
      <c r="I1" s="684"/>
    </row>
    <row r="2" spans="1:15" ht="20.25">
      <c r="A2" s="299" t="str">
        <f>Licensee</f>
        <v>SPT</v>
      </c>
      <c r="B2" s="294"/>
      <c r="C2" s="16"/>
      <c r="D2" s="16"/>
      <c r="E2" s="16"/>
      <c r="F2" s="16"/>
      <c r="G2" s="16"/>
      <c r="H2" s="16"/>
      <c r="I2" s="65"/>
    </row>
    <row r="3" spans="1:15" ht="20.25">
      <c r="A3" s="294">
        <f>Reporting_Year</f>
        <v>2022</v>
      </c>
      <c r="B3" s="571"/>
      <c r="C3" s="571"/>
      <c r="D3" s="571"/>
      <c r="E3" s="571"/>
      <c r="F3" s="571"/>
      <c r="G3" s="571"/>
      <c r="H3" s="571"/>
      <c r="I3" s="119"/>
    </row>
    <row r="4" spans="1:15" s="2" customFormat="1" ht="12.75" customHeight="1"/>
    <row r="5" spans="1:15" s="2" customFormat="1">
      <c r="B5" s="3"/>
      <c r="C5" s="3"/>
      <c r="D5" s="153" t="str">
        <f t="shared" ref="D5:H5" si="0">IF(D6&lt;=Reporting_Year,"Actuals","Forecast")</f>
        <v>Actuals</v>
      </c>
      <c r="E5" s="153" t="str">
        <f t="shared" si="0"/>
        <v>Forecast</v>
      </c>
      <c r="F5" s="153" t="str">
        <f t="shared" si="0"/>
        <v>Forecast</v>
      </c>
      <c r="G5" s="153" t="str">
        <f t="shared" si="0"/>
        <v>Forecast</v>
      </c>
      <c r="H5" s="153"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5" t="str">
        <f>RIIO_2_start_date+3&amp;"/"&amp;RIGHT(RIIO_2_start_date+4,2)</f>
        <v>2025/26</v>
      </c>
    </row>
    <row r="8" spans="1:15" s="2" customFormat="1"/>
    <row r="9" spans="1:15" s="2" customFormat="1">
      <c r="A9" s="376" t="s">
        <v>452</v>
      </c>
      <c r="B9" s="377"/>
      <c r="C9" s="98"/>
      <c r="D9" s="98"/>
      <c r="E9" s="98"/>
      <c r="F9" s="98"/>
      <c r="G9" s="98"/>
      <c r="H9" s="98"/>
    </row>
    <row r="10" spans="1:15" s="2" customFormat="1"/>
    <row r="11" spans="1:15">
      <c r="B11" s="6" t="s">
        <v>453</v>
      </c>
      <c r="C11" s="75" t="s">
        <v>194</v>
      </c>
      <c r="D11" s="610">
        <v>185</v>
      </c>
      <c r="E11" s="610"/>
      <c r="F11" s="610"/>
      <c r="G11" s="610"/>
      <c r="H11" s="610"/>
      <c r="J11" s="2"/>
    </row>
    <row r="12" spans="1:15">
      <c r="B12" s="7" t="s">
        <v>454</v>
      </c>
      <c r="C12" s="6"/>
      <c r="D12" s="242"/>
      <c r="E12" s="242"/>
      <c r="F12" s="242"/>
      <c r="G12" s="242"/>
      <c r="H12" s="242"/>
      <c r="J12" s="2"/>
    </row>
    <row r="13" spans="1:15">
      <c r="B13" s="146" t="s">
        <v>435</v>
      </c>
      <c r="C13" s="75" t="s">
        <v>194</v>
      </c>
      <c r="D13" s="610">
        <v>0</v>
      </c>
      <c r="E13" s="610"/>
      <c r="F13" s="610"/>
      <c r="G13" s="610"/>
      <c r="H13" s="610"/>
      <c r="J13" s="2"/>
    </row>
    <row r="14" spans="1:15">
      <c r="B14" s="146" t="s">
        <v>435</v>
      </c>
      <c r="C14" s="75" t="s">
        <v>194</v>
      </c>
      <c r="D14" s="610">
        <v>0</v>
      </c>
      <c r="E14" s="610"/>
      <c r="F14" s="610"/>
      <c r="G14" s="610"/>
      <c r="H14" s="610"/>
      <c r="J14" s="2"/>
    </row>
    <row r="15" spans="1:15">
      <c r="B15" s="146" t="s">
        <v>436</v>
      </c>
      <c r="C15" s="75" t="s">
        <v>194</v>
      </c>
      <c r="D15" s="610">
        <v>0</v>
      </c>
      <c r="E15" s="610"/>
      <c r="F15" s="610"/>
      <c r="G15" s="610"/>
      <c r="H15" s="610"/>
      <c r="J15" s="2"/>
      <c r="N15" s="97"/>
    </row>
    <row r="16" spans="1:15">
      <c r="B16" s="6" t="s">
        <v>455</v>
      </c>
      <c r="C16" s="75" t="s">
        <v>194</v>
      </c>
      <c r="D16" s="241">
        <f>D11-SUM(D13:D15)</f>
        <v>185</v>
      </c>
      <c r="E16" s="241">
        <f t="shared" ref="E16:H16" si="2">E11-SUM(E13:E15)</f>
        <v>0</v>
      </c>
      <c r="F16" s="241">
        <f t="shared" si="2"/>
        <v>0</v>
      </c>
      <c r="G16" s="241">
        <f t="shared" si="2"/>
        <v>0</v>
      </c>
      <c r="H16" s="241">
        <f t="shared" si="2"/>
        <v>0</v>
      </c>
      <c r="J16" s="2"/>
      <c r="O16" s="96"/>
    </row>
    <row r="17" spans="1:14">
      <c r="C17" s="6"/>
      <c r="J17" s="2"/>
      <c r="N17" s="97"/>
    </row>
    <row r="18" spans="1:14">
      <c r="B18" s="6" t="s">
        <v>456</v>
      </c>
      <c r="C18" s="75" t="s">
        <v>194</v>
      </c>
      <c r="D18" s="610">
        <v>0</v>
      </c>
      <c r="E18" s="610"/>
      <c r="F18" s="610"/>
      <c r="G18" s="610"/>
      <c r="H18" s="610"/>
      <c r="J18" s="2"/>
    </row>
    <row r="19" spans="1:14">
      <c r="J19" s="2"/>
    </row>
    <row r="22" spans="1:14">
      <c r="A22" s="376" t="s">
        <v>457</v>
      </c>
      <c r="B22" s="378"/>
      <c r="C22" s="98"/>
      <c r="D22" s="98"/>
      <c r="E22" s="98"/>
      <c r="F22" s="98"/>
      <c r="G22" s="98"/>
      <c r="H22" s="98"/>
    </row>
    <row r="23" spans="1:14">
      <c r="D23" s="749" t="str">
        <f>Reporting_Year&amp;" "&amp;"- Actuals"</f>
        <v>2022 - Actuals</v>
      </c>
      <c r="E23" s="750"/>
      <c r="F23" s="750"/>
      <c r="G23" s="750"/>
      <c r="H23" s="751"/>
    </row>
    <row r="24" spans="1:14">
      <c r="D24" s="589" t="s">
        <v>458</v>
      </c>
      <c r="E24" s="589" t="s">
        <v>459</v>
      </c>
      <c r="F24" s="589" t="s">
        <v>460</v>
      </c>
      <c r="G24" s="589" t="s">
        <v>461</v>
      </c>
      <c r="H24" s="589" t="s">
        <v>462</v>
      </c>
    </row>
    <row r="25" spans="1:14" ht="35.1" customHeight="1">
      <c r="C25" t="s">
        <v>463</v>
      </c>
      <c r="D25" s="691" t="s">
        <v>541</v>
      </c>
      <c r="E25" s="691" t="s">
        <v>542</v>
      </c>
      <c r="F25" s="690" t="s">
        <v>540</v>
      </c>
      <c r="G25" s="690" t="s">
        <v>540</v>
      </c>
      <c r="H25" s="690" t="s">
        <v>540</v>
      </c>
    </row>
    <row r="26" spans="1:14" ht="44.45" customHeight="1">
      <c r="B26" s="6" t="s">
        <v>464</v>
      </c>
    </row>
    <row r="27" spans="1:14">
      <c r="B27" t="s">
        <v>465</v>
      </c>
      <c r="C27" s="75" t="s">
        <v>194</v>
      </c>
      <c r="D27" s="204">
        <v>0.81253938000000003</v>
      </c>
      <c r="E27" s="205">
        <v>1.42</v>
      </c>
      <c r="F27" s="205">
        <v>0</v>
      </c>
      <c r="G27" s="205">
        <v>0</v>
      </c>
      <c r="H27" s="205">
        <v>0</v>
      </c>
    </row>
    <row r="28" spans="1:14">
      <c r="B28" t="s">
        <v>466</v>
      </c>
      <c r="C28" s="75" t="s">
        <v>194</v>
      </c>
      <c r="D28" s="340">
        <v>0</v>
      </c>
      <c r="E28" s="341">
        <v>0</v>
      </c>
      <c r="F28" s="341">
        <v>0</v>
      </c>
      <c r="G28" s="341">
        <v>0</v>
      </c>
      <c r="H28" s="341">
        <v>0</v>
      </c>
    </row>
    <row r="29" spans="1:14">
      <c r="B29" s="146" t="s">
        <v>436</v>
      </c>
      <c r="C29" s="75" t="s">
        <v>194</v>
      </c>
      <c r="D29" s="340">
        <v>0</v>
      </c>
      <c r="E29" s="341">
        <v>0</v>
      </c>
      <c r="F29" s="341">
        <v>0</v>
      </c>
      <c r="G29" s="341">
        <v>0</v>
      </c>
      <c r="H29" s="341">
        <v>0</v>
      </c>
    </row>
    <row r="30" spans="1:14">
      <c r="B30" t="s">
        <v>467</v>
      </c>
      <c r="C30" s="75" t="s">
        <v>194</v>
      </c>
      <c r="D30" s="206">
        <v>0</v>
      </c>
      <c r="E30" s="207">
        <v>0</v>
      </c>
      <c r="F30" s="207">
        <v>0</v>
      </c>
      <c r="G30" s="207">
        <v>0</v>
      </c>
      <c r="H30" s="207">
        <v>0</v>
      </c>
    </row>
    <row r="31" spans="1:14">
      <c r="B31" s="146" t="s">
        <v>436</v>
      </c>
      <c r="C31" s="75" t="s">
        <v>194</v>
      </c>
      <c r="D31" s="209">
        <v>0</v>
      </c>
      <c r="E31" s="210">
        <v>0</v>
      </c>
      <c r="F31" s="210">
        <v>0</v>
      </c>
      <c r="G31" s="210">
        <v>0</v>
      </c>
      <c r="H31" s="210">
        <v>0</v>
      </c>
    </row>
    <row r="32" spans="1:14">
      <c r="B32" t="s">
        <v>468</v>
      </c>
      <c r="C32" s="75" t="s">
        <v>194</v>
      </c>
      <c r="D32" s="209">
        <v>0.10199999999999999</v>
      </c>
      <c r="E32" s="210">
        <v>0</v>
      </c>
      <c r="F32" s="210">
        <v>0</v>
      </c>
      <c r="G32" s="210">
        <v>0</v>
      </c>
      <c r="H32" s="210">
        <v>0</v>
      </c>
    </row>
    <row r="33" spans="2:8">
      <c r="B33" s="146" t="s">
        <v>436</v>
      </c>
      <c r="C33" s="75" t="s">
        <v>194</v>
      </c>
      <c r="D33" s="204">
        <v>0</v>
      </c>
      <c r="E33" s="205">
        <v>0</v>
      </c>
      <c r="F33" s="205">
        <v>0</v>
      </c>
      <c r="G33" s="205">
        <v>0</v>
      </c>
      <c r="H33" s="205">
        <v>0</v>
      </c>
    </row>
    <row r="34" spans="2:8">
      <c r="B34" s="6" t="s">
        <v>469</v>
      </c>
      <c r="C34" s="75" t="s">
        <v>194</v>
      </c>
      <c r="D34" s="417">
        <f>SUM(D27:D33)</f>
        <v>0.91453938000000001</v>
      </c>
      <c r="E34" s="417">
        <f>SUM(E27:E33)</f>
        <v>1.42</v>
      </c>
      <c r="F34" s="417">
        <f>SUM(F27:F33)</f>
        <v>0</v>
      </c>
      <c r="G34" s="417">
        <f>SUM(G27:G33)</f>
        <v>0</v>
      </c>
      <c r="H34" s="417">
        <f>SUM(H27:H33)</f>
        <v>0</v>
      </c>
    </row>
    <row r="35" spans="2:8">
      <c r="B35" s="6" t="s">
        <v>470</v>
      </c>
      <c r="C35" s="75" t="s">
        <v>194</v>
      </c>
      <c r="D35" s="590">
        <v>0.33</v>
      </c>
      <c r="E35" s="590">
        <v>0.5</v>
      </c>
      <c r="F35" s="590">
        <v>0</v>
      </c>
      <c r="G35" s="590">
        <v>0</v>
      </c>
      <c r="H35" s="590">
        <v>0</v>
      </c>
    </row>
    <row r="36" spans="2:8">
      <c r="B36" s="146"/>
    </row>
    <row r="37" spans="2:8">
      <c r="B37" s="6" t="s">
        <v>471</v>
      </c>
    </row>
    <row r="38" spans="2:8">
      <c r="B38" t="s">
        <v>472</v>
      </c>
      <c r="C38" s="75" t="s">
        <v>194</v>
      </c>
      <c r="D38" s="204">
        <v>0</v>
      </c>
      <c r="E38" s="205">
        <v>0</v>
      </c>
      <c r="F38" s="205">
        <v>0</v>
      </c>
      <c r="G38" s="205">
        <v>0</v>
      </c>
      <c r="H38" s="205">
        <v>0</v>
      </c>
    </row>
    <row r="39" spans="2:8">
      <c r="B39" s="146" t="s">
        <v>436</v>
      </c>
      <c r="C39" s="75" t="s">
        <v>194</v>
      </c>
      <c r="D39" s="209">
        <v>0</v>
      </c>
      <c r="E39" s="210">
        <v>0</v>
      </c>
      <c r="F39" s="210">
        <v>0</v>
      </c>
      <c r="G39" s="210">
        <v>0</v>
      </c>
      <c r="H39" s="210">
        <v>0</v>
      </c>
    </row>
    <row r="40" spans="2:8">
      <c r="B40" t="s">
        <v>473</v>
      </c>
      <c r="C40" s="75" t="s">
        <v>194</v>
      </c>
      <c r="D40" s="206">
        <v>0</v>
      </c>
      <c r="E40" s="207">
        <v>0</v>
      </c>
      <c r="F40" s="207">
        <v>0</v>
      </c>
      <c r="G40" s="207">
        <v>0</v>
      </c>
      <c r="H40" s="207">
        <v>0</v>
      </c>
    </row>
    <row r="41" spans="2:8">
      <c r="B41" s="146" t="s">
        <v>436</v>
      </c>
      <c r="C41" s="75" t="s">
        <v>194</v>
      </c>
      <c r="D41" s="209">
        <v>0</v>
      </c>
      <c r="E41" s="210">
        <v>0</v>
      </c>
      <c r="F41" s="210">
        <v>0</v>
      </c>
      <c r="G41" s="210">
        <v>0</v>
      </c>
      <c r="H41" s="210">
        <v>0</v>
      </c>
    </row>
    <row r="42" spans="2:8">
      <c r="B42" s="6" t="s">
        <v>474</v>
      </c>
      <c r="C42" s="75" t="s">
        <v>194</v>
      </c>
      <c r="D42" s="591">
        <f t="shared" ref="D42:H42" si="3">SUM(D38:D41)</f>
        <v>0</v>
      </c>
      <c r="E42" s="591">
        <f t="shared" si="3"/>
        <v>0</v>
      </c>
      <c r="F42" s="591">
        <f t="shared" si="3"/>
        <v>0</v>
      </c>
      <c r="G42" s="591">
        <f t="shared" si="3"/>
        <v>0</v>
      </c>
      <c r="H42" s="591">
        <f t="shared" si="3"/>
        <v>0</v>
      </c>
    </row>
    <row r="43" spans="2:8">
      <c r="B43" s="6" t="s">
        <v>470</v>
      </c>
      <c r="C43" s="75" t="s">
        <v>194</v>
      </c>
      <c r="D43" s="590">
        <v>0</v>
      </c>
      <c r="E43" s="590">
        <v>0</v>
      </c>
      <c r="F43" s="590">
        <v>0</v>
      </c>
      <c r="G43" s="590">
        <v>0</v>
      </c>
      <c r="H43" s="590">
        <v>0</v>
      </c>
    </row>
    <row r="45" spans="2:8">
      <c r="B45" s="6" t="s">
        <v>475</v>
      </c>
      <c r="C45" s="75" t="s">
        <v>194</v>
      </c>
      <c r="D45" s="591">
        <f t="shared" ref="D45:H45" si="4">SUM(D34,D42)</f>
        <v>0.91453938000000001</v>
      </c>
      <c r="E45" s="591">
        <f t="shared" si="4"/>
        <v>1.42</v>
      </c>
      <c r="F45" s="591">
        <f t="shared" si="4"/>
        <v>0</v>
      </c>
      <c r="G45" s="591">
        <f t="shared" si="4"/>
        <v>0</v>
      </c>
      <c r="H45" s="591">
        <f t="shared" si="4"/>
        <v>0</v>
      </c>
    </row>
    <row r="46" spans="2:8">
      <c r="B46" s="6" t="s">
        <v>476</v>
      </c>
      <c r="C46" s="75" t="s">
        <v>194</v>
      </c>
      <c r="D46" s="591">
        <f>D35+D43</f>
        <v>0.33</v>
      </c>
      <c r="E46" s="591">
        <f t="shared" ref="E46:H46" si="5">E35+E43</f>
        <v>0.5</v>
      </c>
      <c r="F46" s="591">
        <f t="shared" si="5"/>
        <v>0</v>
      </c>
      <c r="G46" s="591">
        <f t="shared" si="5"/>
        <v>0</v>
      </c>
      <c r="H46" s="591">
        <f t="shared" si="5"/>
        <v>0</v>
      </c>
    </row>
    <row r="48" spans="2:8">
      <c r="B48" s="6" t="s">
        <v>477</v>
      </c>
    </row>
    <row r="49" spans="2:14">
      <c r="B49" t="s">
        <v>478</v>
      </c>
      <c r="C49" s="75" t="s">
        <v>479</v>
      </c>
      <c r="D49" s="204">
        <v>0</v>
      </c>
      <c r="E49" s="205">
        <v>0</v>
      </c>
      <c r="F49" s="205">
        <v>0</v>
      </c>
      <c r="G49" s="205">
        <v>0</v>
      </c>
      <c r="H49" s="205">
        <v>0</v>
      </c>
    </row>
    <row r="50" spans="2:14">
      <c r="B50" s="146" t="s">
        <v>436</v>
      </c>
      <c r="C50" s="75"/>
      <c r="D50" s="204">
        <v>0</v>
      </c>
      <c r="E50" s="205">
        <v>0</v>
      </c>
      <c r="F50" s="205">
        <v>0</v>
      </c>
      <c r="G50" s="205">
        <v>0</v>
      </c>
      <c r="H50" s="205">
        <v>0</v>
      </c>
    </row>
    <row r="51" spans="2:14">
      <c r="B51" t="s">
        <v>480</v>
      </c>
      <c r="C51" s="75" t="s">
        <v>158</v>
      </c>
      <c r="D51" s="204">
        <v>0</v>
      </c>
      <c r="E51" s="205">
        <v>0</v>
      </c>
      <c r="F51" s="205">
        <v>0</v>
      </c>
      <c r="G51" s="205">
        <v>0</v>
      </c>
      <c r="H51" s="205">
        <v>0</v>
      </c>
    </row>
    <row r="52" spans="2:14">
      <c r="B52" s="519" t="s">
        <v>481</v>
      </c>
      <c r="C52" s="75" t="s">
        <v>158</v>
      </c>
      <c r="D52" s="204">
        <v>0</v>
      </c>
      <c r="E52" s="205">
        <v>0</v>
      </c>
      <c r="F52" s="205">
        <v>0</v>
      </c>
      <c r="G52" s="205">
        <v>0</v>
      </c>
      <c r="H52" s="205">
        <v>0</v>
      </c>
    </row>
    <row r="53" spans="2:14">
      <c r="B53" s="6" t="s">
        <v>482</v>
      </c>
      <c r="C53" s="75" t="s">
        <v>194</v>
      </c>
      <c r="D53" s="204">
        <v>0</v>
      </c>
      <c r="E53" s="205">
        <v>0</v>
      </c>
      <c r="F53" s="205">
        <v>0</v>
      </c>
      <c r="G53" s="205">
        <v>0</v>
      </c>
      <c r="H53" s="205">
        <v>0</v>
      </c>
    </row>
    <row r="54" spans="2:14">
      <c r="B54" s="519" t="s">
        <v>483</v>
      </c>
      <c r="C54" s="75" t="s">
        <v>484</v>
      </c>
      <c r="D54" s="204">
        <v>0</v>
      </c>
      <c r="E54" s="205">
        <v>0</v>
      </c>
      <c r="F54" s="205">
        <v>0</v>
      </c>
      <c r="G54" s="205">
        <v>0</v>
      </c>
      <c r="H54" s="205">
        <v>0</v>
      </c>
    </row>
    <row r="55" spans="2:14">
      <c r="B55" s="519" t="s">
        <v>485</v>
      </c>
      <c r="C55" s="75" t="s">
        <v>486</v>
      </c>
      <c r="D55" s="204">
        <v>0</v>
      </c>
      <c r="E55" s="205">
        <v>0</v>
      </c>
      <c r="F55" s="205">
        <v>0</v>
      </c>
      <c r="G55" s="205">
        <v>0</v>
      </c>
      <c r="H55" s="205">
        <v>0</v>
      </c>
    </row>
    <row r="56" spans="2:14">
      <c r="B56" s="519" t="s">
        <v>487</v>
      </c>
      <c r="C56" s="75" t="s">
        <v>484</v>
      </c>
      <c r="D56" s="204">
        <v>0</v>
      </c>
      <c r="E56" s="205">
        <v>0</v>
      </c>
      <c r="F56" s="205">
        <v>0</v>
      </c>
      <c r="G56" s="205">
        <v>0</v>
      </c>
      <c r="H56" s="205">
        <v>0</v>
      </c>
    </row>
    <row r="57" spans="2:14">
      <c r="B57" s="6" t="s">
        <v>488</v>
      </c>
      <c r="C57" s="75" t="s">
        <v>194</v>
      </c>
      <c r="D57" s="225">
        <f>D55*D56</f>
        <v>0</v>
      </c>
      <c r="E57" s="225">
        <f t="shared" ref="E57:H57" si="6">E55*E56</f>
        <v>0</v>
      </c>
      <c r="F57" s="225">
        <f t="shared" si="6"/>
        <v>0</v>
      </c>
      <c r="G57" s="225">
        <f t="shared" si="6"/>
        <v>0</v>
      </c>
      <c r="H57" s="225">
        <f t="shared" si="6"/>
        <v>0</v>
      </c>
    </row>
    <row r="58" spans="2:14">
      <c r="C58" s="75"/>
    </row>
    <row r="59" spans="2:14">
      <c r="B59" s="6" t="s">
        <v>489</v>
      </c>
      <c r="C59" s="75" t="s">
        <v>194</v>
      </c>
      <c r="D59" s="204">
        <v>0</v>
      </c>
      <c r="E59" s="205">
        <v>0</v>
      </c>
      <c r="F59" s="205">
        <v>0</v>
      </c>
      <c r="G59" s="205">
        <v>0</v>
      </c>
      <c r="H59" s="205">
        <v>0</v>
      </c>
    </row>
    <row r="60" spans="2:14">
      <c r="B60" s="6"/>
      <c r="C60" s="6"/>
      <c r="D60" s="6"/>
      <c r="E60" s="6"/>
      <c r="F60" s="6"/>
      <c r="G60" s="6"/>
      <c r="H60" s="6"/>
      <c r="I60" s="6"/>
      <c r="J60" s="6"/>
      <c r="K60" s="6"/>
      <c r="L60" s="6"/>
      <c r="M60" s="6"/>
      <c r="N60" s="6"/>
    </row>
    <row r="61" spans="2:14">
      <c r="B61" s="6" t="s">
        <v>490</v>
      </c>
      <c r="C61" s="75"/>
      <c r="D61" s="225">
        <f>D53+D57+D59</f>
        <v>0</v>
      </c>
      <c r="E61" s="225">
        <f>E53+E57+E59</f>
        <v>0</v>
      </c>
      <c r="F61" s="225">
        <f>F53+F57+F59</f>
        <v>0</v>
      </c>
      <c r="G61" s="225">
        <f>G53+G57+G59</f>
        <v>0</v>
      </c>
      <c r="H61" s="225">
        <f>H53+H57+H59</f>
        <v>0</v>
      </c>
    </row>
    <row r="62" spans="2:14">
      <c r="B62" s="6" t="s">
        <v>470</v>
      </c>
      <c r="C62" s="75" t="s">
        <v>194</v>
      </c>
      <c r="D62" s="204">
        <v>0</v>
      </c>
      <c r="E62" s="205">
        <v>0</v>
      </c>
      <c r="F62" s="205">
        <v>0</v>
      </c>
      <c r="G62" s="205">
        <v>0</v>
      </c>
      <c r="H62" s="205">
        <v>0</v>
      </c>
    </row>
    <row r="63" spans="2:14">
      <c r="B63" s="6"/>
      <c r="C63" s="75"/>
      <c r="D63" s="6"/>
      <c r="E63" s="6"/>
      <c r="F63" s="6"/>
      <c r="G63" s="6"/>
      <c r="H63" s="6"/>
      <c r="J63" s="6"/>
      <c r="K63" s="6"/>
    </row>
    <row r="64" spans="2:14">
      <c r="B64" s="6" t="s">
        <v>491</v>
      </c>
      <c r="C64" s="75" t="s">
        <v>194</v>
      </c>
      <c r="D64" s="225">
        <f>D45+D61</f>
        <v>0.91453938000000001</v>
      </c>
      <c r="E64" s="225">
        <f t="shared" ref="E64:H64" si="7">E45+E61</f>
        <v>1.42</v>
      </c>
      <c r="F64" s="225">
        <f t="shared" si="7"/>
        <v>0</v>
      </c>
      <c r="G64" s="225">
        <f t="shared" si="7"/>
        <v>0</v>
      </c>
      <c r="H64" s="225">
        <f t="shared" si="7"/>
        <v>0</v>
      </c>
    </row>
    <row r="65" spans="1:12">
      <c r="B65" s="6" t="s">
        <v>492</v>
      </c>
      <c r="C65" s="75" t="s">
        <v>194</v>
      </c>
      <c r="D65" s="225">
        <f>D46+D62</f>
        <v>0.33</v>
      </c>
      <c r="E65" s="225">
        <f t="shared" ref="E65:H65" si="8">E46+E62</f>
        <v>0.5</v>
      </c>
      <c r="F65" s="225">
        <f t="shared" si="8"/>
        <v>0</v>
      </c>
      <c r="G65" s="225">
        <f t="shared" si="8"/>
        <v>0</v>
      </c>
      <c r="H65" s="225">
        <f t="shared" si="8"/>
        <v>0</v>
      </c>
      <c r="J65" s="6"/>
    </row>
    <row r="66" spans="1:12">
      <c r="B66" s="6"/>
      <c r="C66" s="75"/>
      <c r="D66" s="419"/>
      <c r="E66" s="419"/>
      <c r="F66" s="419"/>
      <c r="G66" s="419"/>
      <c r="H66" s="419"/>
      <c r="J66" s="6"/>
    </row>
    <row r="67" spans="1:12">
      <c r="B67" s="6" t="s">
        <v>493</v>
      </c>
      <c r="C67" s="75"/>
      <c r="D67" s="419"/>
      <c r="E67" s="419"/>
      <c r="F67" s="419"/>
      <c r="G67" s="419"/>
      <c r="H67" s="419"/>
      <c r="J67" s="6"/>
    </row>
    <row r="68" spans="1:12">
      <c r="B68" t="s">
        <v>494</v>
      </c>
      <c r="C68" s="75"/>
      <c r="D68" s="590">
        <v>18.297579661570374</v>
      </c>
      <c r="E68" s="419"/>
      <c r="F68" s="419"/>
      <c r="G68" s="419"/>
      <c r="H68" s="419"/>
      <c r="J68" s="6"/>
    </row>
    <row r="69" spans="1:12">
      <c r="B69" t="s">
        <v>495</v>
      </c>
      <c r="C69" s="75"/>
      <c r="D69" s="590">
        <v>14.577733833040888</v>
      </c>
      <c r="E69" s="419"/>
      <c r="F69" s="419"/>
      <c r="G69" s="419"/>
      <c r="H69" s="419"/>
      <c r="J69" s="6"/>
    </row>
    <row r="70" spans="1:12">
      <c r="B70" t="s">
        <v>496</v>
      </c>
      <c r="C70" s="75"/>
      <c r="D70" s="590">
        <v>11.994022001426892</v>
      </c>
      <c r="E70" s="419"/>
      <c r="F70" s="419"/>
      <c r="G70" s="419"/>
      <c r="H70" s="419"/>
      <c r="J70" s="6"/>
    </row>
    <row r="71" spans="1:12">
      <c r="B71" s="6"/>
      <c r="C71" s="75"/>
      <c r="D71" s="419"/>
      <c r="E71" s="419"/>
      <c r="F71" s="419"/>
      <c r="G71" s="419"/>
      <c r="H71" s="419"/>
      <c r="J71" s="6"/>
    </row>
    <row r="72" spans="1:12">
      <c r="A72" s="359" t="s">
        <v>497</v>
      </c>
      <c r="B72" s="6"/>
      <c r="C72" s="75"/>
      <c r="D72" s="75"/>
      <c r="E72" s="75"/>
      <c r="F72" s="75"/>
      <c r="G72" s="75"/>
      <c r="H72" s="75"/>
      <c r="I72" s="75"/>
      <c r="J72" s="75"/>
      <c r="K72" s="75"/>
      <c r="L72" s="75"/>
    </row>
    <row r="73" spans="1:12">
      <c r="A73" s="359" t="s">
        <v>498</v>
      </c>
      <c r="B73" s="6"/>
      <c r="C73" s="6"/>
      <c r="D73" s="6"/>
      <c r="E73" s="6"/>
      <c r="F73" s="6"/>
      <c r="G73" s="6"/>
      <c r="H73" s="6"/>
      <c r="I73" s="6"/>
      <c r="J73" s="6"/>
    </row>
    <row r="74" spans="1:12">
      <c r="A74" s="359"/>
      <c r="B74" s="6"/>
      <c r="C74" s="6"/>
      <c r="D74" s="6"/>
      <c r="E74" s="6"/>
      <c r="F74" s="6"/>
      <c r="G74" s="6"/>
      <c r="H74" s="6"/>
      <c r="I74" s="6"/>
      <c r="J74" s="6"/>
    </row>
    <row r="75" spans="1:12">
      <c r="B75" s="6" t="s">
        <v>499</v>
      </c>
    </row>
    <row r="76" spans="1:12">
      <c r="B76" s="6"/>
    </row>
    <row r="77" spans="1:12" ht="51" customHeight="1">
      <c r="B77" s="736" t="s">
        <v>543</v>
      </c>
      <c r="C77" s="737"/>
      <c r="D77" s="737"/>
      <c r="E77" s="737"/>
      <c r="F77" s="737"/>
      <c r="G77" s="737"/>
      <c r="H77" s="738"/>
    </row>
    <row r="78" spans="1:12">
      <c r="B78" s="739"/>
      <c r="C78" s="740"/>
      <c r="D78" s="740"/>
      <c r="E78" s="740"/>
      <c r="F78" s="740"/>
      <c r="G78" s="740"/>
      <c r="H78" s="741"/>
    </row>
    <row r="79" spans="1:12">
      <c r="B79" s="739"/>
      <c r="C79" s="740"/>
      <c r="D79" s="740"/>
      <c r="E79" s="740"/>
      <c r="F79" s="740"/>
      <c r="G79" s="740"/>
      <c r="H79" s="741"/>
    </row>
    <row r="80" spans="1:12">
      <c r="B80" s="739"/>
      <c r="C80" s="740"/>
      <c r="D80" s="740"/>
      <c r="E80" s="740"/>
      <c r="F80" s="740"/>
      <c r="G80" s="740"/>
      <c r="H80" s="741"/>
    </row>
    <row r="81" spans="2:8">
      <c r="B81" s="739"/>
      <c r="C81" s="740"/>
      <c r="D81" s="740"/>
      <c r="E81" s="740"/>
      <c r="F81" s="740"/>
      <c r="G81" s="740"/>
      <c r="H81" s="741"/>
    </row>
    <row r="82" spans="2:8">
      <c r="B82" s="742"/>
      <c r="C82" s="743"/>
      <c r="D82" s="743"/>
      <c r="E82" s="743"/>
      <c r="F82" s="743"/>
      <c r="G82" s="743"/>
      <c r="H82" s="744"/>
    </row>
  </sheetData>
  <mergeCells count="2">
    <mergeCell ref="D23:H23"/>
    <mergeCell ref="B77:H82"/>
  </mergeCells>
  <phoneticPr fontId="250" type="noConversion"/>
  <conditionalFormatting sqref="D5:G6">
    <cfRule type="expression" dxfId="20" priority="35">
      <formula>AND(D$5="Actuals",E$5="N/A")</formula>
    </cfRule>
  </conditionalFormatting>
  <conditionalFormatting sqref="D5:H6 D62:H62 D38:H38 D43:H43 D27:H35 D40:H41 D49:H57 D64:H71">
    <cfRule type="expression" dxfId="19" priority="27">
      <formula>D$5="N/A"</formula>
    </cfRule>
  </conditionalFormatting>
  <conditionalFormatting sqref="D20:H20">
    <cfRule type="expression" priority="21">
      <formula>D$5="N/A"</formula>
    </cfRule>
  </conditionalFormatting>
  <conditionalFormatting sqref="H5:H6">
    <cfRule type="expression" dxfId="18" priority="274">
      <formula>AND(H$5="Actuals",#REF!="N/A")</formula>
    </cfRule>
  </conditionalFormatting>
  <conditionalFormatting sqref="D59:H59 D61:H61">
    <cfRule type="expression" dxfId="17" priority="13">
      <formula>D$5="N/A"</formula>
    </cfRule>
  </conditionalFormatting>
  <conditionalFormatting sqref="D39:H39">
    <cfRule type="expression" dxfId="16" priority="11">
      <formula>D$5="N/A"</formula>
    </cfRule>
  </conditionalFormatting>
  <conditionalFormatting sqref="D7:H7">
    <cfRule type="expression" dxfId="15" priority="10">
      <formula>AND(D$5="Actuals",E$5="Forecast")</formula>
    </cfRule>
  </conditionalFormatting>
  <conditionalFormatting sqref="D11">
    <cfRule type="expression" dxfId="14" priority="7">
      <formula>D$5="Forecast"</formula>
    </cfRule>
  </conditionalFormatting>
  <conditionalFormatting sqref="E11:H11">
    <cfRule type="expression" dxfId="13" priority="5">
      <formula>E$5="Forecast"</formula>
    </cfRule>
  </conditionalFormatting>
  <conditionalFormatting sqref="D13:H14">
    <cfRule type="expression" dxfId="12" priority="4">
      <formula>D$5="Forecast"</formula>
    </cfRule>
  </conditionalFormatting>
  <conditionalFormatting sqref="D15:H15">
    <cfRule type="expression" dxfId="11" priority="3">
      <formula>D$5="Forecast"</formula>
    </cfRule>
  </conditionalFormatting>
  <conditionalFormatting sqref="D18:H18">
    <cfRule type="expression" dxfId="10" priority="2">
      <formula>D$5="Forecast"</formula>
    </cfRule>
  </conditionalFormatting>
  <conditionalFormatting sqref="D16:H16">
    <cfRule type="expression" dxfId="9" priority="1">
      <formula>D$5="Forecast"</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Normal="100" workbookViewId="0">
      <pane ySplit="6" topLeftCell="A7" activePane="bottomLeft" state="frozen"/>
      <selection activeCell="D15" sqref="D15"/>
      <selection pane="bottomLeft" activeCell="B2" sqref="B2"/>
    </sheetView>
  </sheetViews>
  <sheetFormatPr defaultRowHeight="12.75"/>
  <cols>
    <col min="1" max="1" width="8.375" customWidth="1"/>
    <col min="2" max="2" width="82" customWidth="1"/>
    <col min="3" max="3" width="14.125" customWidth="1"/>
    <col min="4" max="8" width="11.125" customWidth="1"/>
    <col min="9" max="9" width="6.625" bestFit="1" customWidth="1"/>
  </cols>
  <sheetData>
    <row r="1" spans="1:10" ht="20.25">
      <c r="A1" s="677" t="s">
        <v>500</v>
      </c>
      <c r="B1" s="400"/>
      <c r="C1" s="401"/>
      <c r="D1" s="401"/>
      <c r="E1" s="401"/>
      <c r="F1" s="401"/>
      <c r="G1" s="401"/>
      <c r="H1" s="401"/>
      <c r="I1" s="684"/>
    </row>
    <row r="2" spans="1:10" ht="20.25">
      <c r="A2" s="299" t="str">
        <f>Licensee</f>
        <v>SPT</v>
      </c>
      <c r="B2" s="294"/>
      <c r="C2" s="16"/>
      <c r="D2" s="16"/>
      <c r="E2" s="16"/>
      <c r="F2" s="16"/>
      <c r="G2" s="16"/>
      <c r="H2" s="16"/>
      <c r="I2" s="65"/>
    </row>
    <row r="3" spans="1:10" ht="20.25">
      <c r="A3" s="294">
        <f>Reporting_Year</f>
        <v>2022</v>
      </c>
      <c r="B3" s="584"/>
      <c r="C3" s="571"/>
      <c r="D3" s="571"/>
      <c r="E3" s="571"/>
      <c r="F3" s="571"/>
      <c r="G3" s="571"/>
      <c r="H3" s="571"/>
      <c r="I3" s="119"/>
    </row>
    <row r="4" spans="1:10" s="2" customFormat="1" ht="12.75" customHeight="1">
      <c r="B4" s="3"/>
      <c r="C4"/>
      <c r="D4" s="123"/>
      <c r="E4" s="123"/>
    </row>
    <row r="5" spans="1:10" s="2" customFormat="1" ht="12.75" customHeight="1">
      <c r="B5" s="3"/>
      <c r="C5"/>
      <c r="D5" s="592" t="str">
        <f t="shared" ref="D5:H5" si="0">IF(D6&lt;=Reporting_Year,"Actuals","Forecast")</f>
        <v>Actuals</v>
      </c>
      <c r="E5" s="592" t="str">
        <f t="shared" si="0"/>
        <v>Forecast</v>
      </c>
      <c r="F5" s="592" t="str">
        <f t="shared" si="0"/>
        <v>Forecast</v>
      </c>
      <c r="G5" s="592" t="str">
        <f t="shared" si="0"/>
        <v>Forecast</v>
      </c>
      <c r="H5" s="592" t="str">
        <f t="shared" si="0"/>
        <v>Forecast</v>
      </c>
      <c r="I5" s="1"/>
    </row>
    <row r="6" spans="1:10" s="2" customFormat="1">
      <c r="C6"/>
      <c r="D6" s="425">
        <f>'RFPR cover'!$C$6</f>
        <v>2022</v>
      </c>
      <c r="E6" s="425">
        <f>D6+1</f>
        <v>2023</v>
      </c>
      <c r="F6" s="425">
        <f t="shared" ref="F6:H6" si="1">E6+1</f>
        <v>2024</v>
      </c>
      <c r="G6" s="425">
        <f t="shared" si="1"/>
        <v>2025</v>
      </c>
      <c r="H6" s="425">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5" t="str">
        <f>RIIO_2_start_date+3&amp;"/"&amp;RIGHT(RIIO_2_start_date+4,2)</f>
        <v>2025/26</v>
      </c>
      <c r="I7" s="1"/>
    </row>
    <row r="8" spans="1:10" s="2" customFormat="1">
      <c r="I8" s="1"/>
    </row>
    <row r="9" spans="1:10" s="2" customFormat="1">
      <c r="B9" s="61" t="s">
        <v>501</v>
      </c>
      <c r="C9" s="73"/>
      <c r="D9" s="40"/>
      <c r="E9" s="40"/>
      <c r="F9" s="40"/>
      <c r="G9" s="40"/>
      <c r="H9" s="40"/>
      <c r="I9" s="1"/>
    </row>
    <row r="10" spans="1:10" s="2" customFormat="1">
      <c r="B10" s="5"/>
      <c r="C10" s="69"/>
      <c r="I10" s="1"/>
    </row>
    <row r="11" spans="1:10" s="2" customFormat="1">
      <c r="B11" s="5"/>
      <c r="C11" s="69"/>
      <c r="I11" s="1"/>
    </row>
    <row r="12" spans="1:10">
      <c r="B12" s="6" t="s">
        <v>502</v>
      </c>
      <c r="C12" s="75" t="s">
        <v>194</v>
      </c>
      <c r="D12" s="593">
        <v>2.9590000000000001</v>
      </c>
      <c r="E12" s="593"/>
      <c r="F12" s="593"/>
      <c r="G12" s="593"/>
      <c r="H12" s="593"/>
      <c r="I12" s="1"/>
      <c r="J12" s="2"/>
    </row>
    <row r="13" spans="1:10">
      <c r="B13" s="8" t="s">
        <v>503</v>
      </c>
      <c r="D13" s="242"/>
      <c r="E13" s="242"/>
      <c r="F13" s="242"/>
      <c r="G13" s="242"/>
      <c r="H13" s="242"/>
      <c r="J13" s="2"/>
    </row>
    <row r="14" spans="1:10">
      <c r="B14" t="s">
        <v>504</v>
      </c>
      <c r="C14" s="75" t="s">
        <v>194</v>
      </c>
      <c r="D14" s="593">
        <v>2.302</v>
      </c>
      <c r="E14" s="593"/>
      <c r="F14" s="593"/>
      <c r="G14" s="593"/>
      <c r="H14" s="593"/>
      <c r="I14" s="1"/>
      <c r="J14" s="2"/>
    </row>
    <row r="15" spans="1:10">
      <c r="B15" t="s">
        <v>505</v>
      </c>
      <c r="C15" s="75" t="s">
        <v>194</v>
      </c>
      <c r="D15" s="593">
        <v>0.65700000000000003</v>
      </c>
      <c r="E15" s="593"/>
      <c r="F15" s="593"/>
      <c r="G15" s="593"/>
      <c r="H15" s="593"/>
      <c r="I15" s="1"/>
      <c r="J15" s="2"/>
    </row>
    <row r="16" spans="1:10">
      <c r="D16" s="242"/>
      <c r="E16" s="242"/>
      <c r="F16" s="242"/>
      <c r="G16" s="242"/>
      <c r="H16" s="242"/>
      <c r="I16" s="1"/>
      <c r="J16" s="2"/>
    </row>
    <row r="17" spans="2:10">
      <c r="D17" s="242"/>
      <c r="E17" s="242"/>
      <c r="F17" s="242"/>
      <c r="G17" s="242"/>
      <c r="H17" s="242"/>
      <c r="I17" s="1"/>
      <c r="J17" s="2"/>
    </row>
    <row r="18" spans="2:10">
      <c r="B18" t="s">
        <v>504</v>
      </c>
      <c r="C18" s="94" t="str">
        <f>Data!$C$9</f>
        <v>£m 18/19</v>
      </c>
      <c r="D18" s="579">
        <f t="shared" ref="D18:H18" si="2">D$14/INDEX(real_to_nominal_CF,MATCH(D6,calendar_year,0))</f>
        <v>2.1220823656082195</v>
      </c>
      <c r="E18" s="579">
        <f t="shared" si="2"/>
        <v>0</v>
      </c>
      <c r="F18" s="579">
        <f t="shared" si="2"/>
        <v>0</v>
      </c>
      <c r="G18" s="579">
        <f t="shared" si="2"/>
        <v>0</v>
      </c>
      <c r="H18" s="579">
        <f t="shared" si="2"/>
        <v>0</v>
      </c>
      <c r="I18" s="1"/>
      <c r="J18" s="2"/>
    </row>
    <row r="19" spans="2:10">
      <c r="D19" s="242"/>
      <c r="E19" s="242"/>
      <c r="F19" s="242"/>
      <c r="G19" s="242"/>
      <c r="H19" s="242"/>
      <c r="I19" s="1"/>
      <c r="J19" s="2"/>
    </row>
    <row r="20" spans="2:10">
      <c r="D20" s="242"/>
      <c r="E20" s="242"/>
      <c r="F20" s="242"/>
      <c r="G20" s="242"/>
      <c r="H20" s="242"/>
      <c r="I20" s="1"/>
      <c r="J20" s="2"/>
    </row>
    <row r="21" spans="2:10" s="2" customFormat="1">
      <c r="B21" s="6" t="s">
        <v>506</v>
      </c>
      <c r="C21" s="94" t="str">
        <f>Data!$C$9</f>
        <v>£m 18/19</v>
      </c>
      <c r="D21" s="594">
        <v>3.0417641563417281</v>
      </c>
      <c r="E21" s="594">
        <v>3.0417641563417281</v>
      </c>
      <c r="F21" s="594">
        <v>3.0417641563417281</v>
      </c>
      <c r="G21" s="594">
        <v>3.0417641563417281</v>
      </c>
      <c r="H21" s="594">
        <v>3.0417641563417281</v>
      </c>
      <c r="I21" s="1"/>
    </row>
    <row r="22" spans="2:10" s="2" customFormat="1">
      <c r="B22" t="s">
        <v>507</v>
      </c>
      <c r="C22" s="94" t="str">
        <f>Data!$C$9</f>
        <v>£m 18/19</v>
      </c>
      <c r="D22" s="587">
        <v>0.4</v>
      </c>
      <c r="E22" s="587">
        <v>0</v>
      </c>
      <c r="F22" s="587">
        <v>0</v>
      </c>
      <c r="G22" s="587">
        <v>0</v>
      </c>
      <c r="H22" s="587">
        <v>0</v>
      </c>
      <c r="I22" s="1"/>
    </row>
    <row r="23" spans="2:10" s="2" customFormat="1">
      <c r="B23" s="6" t="s">
        <v>508</v>
      </c>
      <c r="C23" s="94" t="str">
        <f>Data!$C$9</f>
        <v>£m 18/19</v>
      </c>
      <c r="D23" s="579">
        <f>D21-D22</f>
        <v>2.6417641563417282</v>
      </c>
      <c r="E23" s="579">
        <f t="shared" ref="E23:H23" si="3">E21-E22</f>
        <v>3.0417641563417281</v>
      </c>
      <c r="F23" s="579">
        <f t="shared" si="3"/>
        <v>3.0417641563417281</v>
      </c>
      <c r="G23" s="579">
        <f t="shared" si="3"/>
        <v>3.0417641563417281</v>
      </c>
      <c r="H23" s="579">
        <f t="shared" si="3"/>
        <v>3.0417641563417281</v>
      </c>
      <c r="I23" s="1"/>
    </row>
    <row r="24" spans="2:10" s="2" customFormat="1">
      <c r="B24" s="6"/>
      <c r="C24" s="6"/>
      <c r="D24" s="6"/>
      <c r="E24" s="6"/>
      <c r="F24" s="6"/>
      <c r="G24" s="6"/>
      <c r="H24" s="6"/>
      <c r="I24" s="1"/>
    </row>
    <row r="25" spans="2:10" s="2" customFormat="1">
      <c r="B25" s="6"/>
      <c r="C25" s="6"/>
      <c r="D25" s="752" t="s">
        <v>509</v>
      </c>
      <c r="E25" s="6"/>
      <c r="F25" s="6"/>
      <c r="G25" s="6"/>
      <c r="H25" s="6"/>
      <c r="I25" s="1"/>
    </row>
    <row r="26" spans="2:10" s="2" customFormat="1" ht="12.75" customHeight="1">
      <c r="B26" s="6"/>
      <c r="C26" s="6"/>
      <c r="D26" s="753"/>
      <c r="E26" s="6"/>
      <c r="F26" s="6"/>
      <c r="G26" s="6"/>
      <c r="H26" s="6"/>
      <c r="I26" s="1"/>
    </row>
    <row r="27" spans="2:10">
      <c r="C27" s="6"/>
      <c r="D27" s="754"/>
      <c r="E27" s="6"/>
      <c r="I27" s="1"/>
    </row>
    <row r="28" spans="2:10">
      <c r="B28" s="6" t="s">
        <v>510</v>
      </c>
      <c r="C28" s="6"/>
      <c r="D28" s="595">
        <v>43555</v>
      </c>
      <c r="I28" s="1"/>
    </row>
    <row r="29" spans="2:10">
      <c r="B29" s="6"/>
      <c r="C29" s="6"/>
      <c r="D29" s="23"/>
      <c r="E29" s="24"/>
      <c r="F29" s="24"/>
      <c r="I29" s="1"/>
    </row>
    <row r="30" spans="2:10">
      <c r="B30" t="s">
        <v>451</v>
      </c>
      <c r="C30" s="6"/>
      <c r="D30" s="596" t="s">
        <v>587</v>
      </c>
      <c r="E30" s="24"/>
      <c r="F30" s="24"/>
      <c r="I30" s="1"/>
    </row>
    <row r="31" spans="2:10">
      <c r="C31" s="6"/>
      <c r="D31" s="23"/>
      <c r="E31" s="24"/>
      <c r="F31" s="24"/>
      <c r="I31" s="1"/>
    </row>
    <row r="32" spans="2:10">
      <c r="B32" s="6"/>
      <c r="D32" s="143"/>
      <c r="E32" s="24"/>
      <c r="F32" s="24"/>
      <c r="I32" s="1"/>
    </row>
    <row r="33" spans="2:9">
      <c r="B33" t="s">
        <v>511</v>
      </c>
      <c r="C33" s="639" t="str">
        <f>"£m "&amp;$D$30</f>
        <v>£m 18/19</v>
      </c>
      <c r="D33" s="587">
        <v>593</v>
      </c>
      <c r="I33" s="1"/>
    </row>
    <row r="34" spans="2:9">
      <c r="B34" t="s">
        <v>512</v>
      </c>
      <c r="C34" s="639" t="str">
        <f>"£m "&amp;$D$30</f>
        <v>£m 18/19</v>
      </c>
      <c r="D34" s="587">
        <v>4904.8999999999996</v>
      </c>
      <c r="I34" s="1"/>
    </row>
    <row r="35" spans="2:9">
      <c r="C35" s="143"/>
      <c r="D35" s="242"/>
      <c r="I35" s="1"/>
    </row>
    <row r="36" spans="2:9">
      <c r="B36" t="s">
        <v>513</v>
      </c>
      <c r="C36" s="639" t="str">
        <f>"£m "&amp;$D$30</f>
        <v>£m 18/19</v>
      </c>
      <c r="D36" s="587">
        <v>516.79999999999995</v>
      </c>
      <c r="I36" s="1"/>
    </row>
    <row r="37" spans="2:9">
      <c r="B37" t="s">
        <v>514</v>
      </c>
      <c r="C37" s="639" t="str">
        <f>"£m "&amp;$D$30</f>
        <v>£m 18/19</v>
      </c>
      <c r="D37" s="587">
        <v>4178.2</v>
      </c>
      <c r="I37" s="1"/>
    </row>
    <row r="38" spans="2:9">
      <c r="C38" s="143"/>
      <c r="D38" s="242"/>
      <c r="I38" s="1"/>
    </row>
    <row r="39" spans="2:9">
      <c r="B39" s="25" t="s">
        <v>515</v>
      </c>
      <c r="C39" s="639" t="str">
        <f>"£m "&amp;$D$30</f>
        <v>£m 18/19</v>
      </c>
      <c r="D39" s="579">
        <f>D33-D36</f>
        <v>76.200000000000045</v>
      </c>
      <c r="I39" s="1"/>
    </row>
    <row r="40" spans="2:9">
      <c r="B40" s="25" t="s">
        <v>516</v>
      </c>
      <c r="C40" s="639" t="str">
        <f>"£m "&amp;$D$30</f>
        <v>£m 18/19</v>
      </c>
      <c r="D40" s="579">
        <f>D34-D37</f>
        <v>726.69999999999982</v>
      </c>
      <c r="I40" s="1"/>
    </row>
    <row r="41" spans="2:9">
      <c r="C41" s="143"/>
      <c r="D41" s="242"/>
      <c r="I41" s="1"/>
    </row>
    <row r="42" spans="2:9">
      <c r="B42" t="s">
        <v>517</v>
      </c>
      <c r="C42" s="639" t="str">
        <f>"£m "&amp;$D$30</f>
        <v>£m 18/19</v>
      </c>
      <c r="D42" s="587">
        <v>19</v>
      </c>
      <c r="I42" s="1"/>
    </row>
    <row r="43" spans="2:9">
      <c r="B43" t="s">
        <v>518</v>
      </c>
      <c r="C43" s="639" t="str">
        <f>"£m "&amp;$D$30</f>
        <v>£m 18/19</v>
      </c>
      <c r="D43" s="587">
        <v>5.4</v>
      </c>
      <c r="I43" s="1"/>
    </row>
    <row r="44" spans="2:9">
      <c r="I44" s="1"/>
    </row>
    <row r="45" spans="2:9">
      <c r="I45" s="1"/>
    </row>
    <row r="46" spans="2:9">
      <c r="I46" s="1"/>
    </row>
    <row r="47" spans="2:9">
      <c r="B47" s="61" t="s">
        <v>519</v>
      </c>
      <c r="C47" s="73"/>
      <c r="D47" s="40"/>
      <c r="E47" s="40"/>
      <c r="F47" s="40"/>
      <c r="G47" s="40"/>
      <c r="H47" s="40"/>
      <c r="I47" s="1"/>
    </row>
    <row r="48" spans="2:9">
      <c r="I48" s="1"/>
    </row>
    <row r="49" spans="1:9">
      <c r="I49" s="1"/>
    </row>
    <row r="50" spans="1:9">
      <c r="I50" s="1"/>
    </row>
    <row r="51" spans="1:9">
      <c r="A51" s="2"/>
      <c r="B51" s="3"/>
      <c r="C51" s="3"/>
      <c r="D51" s="592" t="str">
        <f t="shared" ref="D51:H51" si="4">IF(D52&lt;=Reporting_Year,"Actuals","Forecast")</f>
        <v>Actuals</v>
      </c>
      <c r="E51" s="592" t="str">
        <f t="shared" si="4"/>
        <v>Forecast</v>
      </c>
      <c r="F51" s="592" t="str">
        <f t="shared" si="4"/>
        <v>Forecast</v>
      </c>
      <c r="G51" s="592" t="str">
        <f t="shared" si="4"/>
        <v>Forecast</v>
      </c>
      <c r="H51" s="592" t="str">
        <f t="shared" si="4"/>
        <v>Forecast</v>
      </c>
      <c r="I51" s="1"/>
    </row>
    <row r="52" spans="1:9">
      <c r="A52" s="2"/>
      <c r="B52" s="2"/>
      <c r="C52" s="6"/>
      <c r="D52" s="425">
        <f>'RFPR cover'!$C$6</f>
        <v>2022</v>
      </c>
      <c r="E52" s="425">
        <f t="shared" ref="E52:H52" si="5">D52+1</f>
        <v>2023</v>
      </c>
      <c r="F52" s="425">
        <f t="shared" si="5"/>
        <v>2024</v>
      </c>
      <c r="G52" s="425">
        <f t="shared" si="5"/>
        <v>2025</v>
      </c>
      <c r="H52" s="425">
        <f t="shared" si="5"/>
        <v>2026</v>
      </c>
      <c r="I52" s="1"/>
    </row>
    <row r="53" spans="1:9">
      <c r="D53" s="243"/>
      <c r="E53" s="243"/>
      <c r="F53" s="243"/>
      <c r="G53" s="243"/>
      <c r="H53" s="243"/>
      <c r="I53" s="1"/>
    </row>
    <row r="54" spans="1:9">
      <c r="B54" s="5" t="s">
        <v>520</v>
      </c>
      <c r="C54" s="94" t="str">
        <f>Data!$C$9</f>
        <v>£m 18/19</v>
      </c>
      <c r="D54" s="597">
        <f>(D$62+D$67)/INDEX(real_to_nominal_CF,MATCH('R10 - Pensions &amp; Oth Activities'!D52,calendar_year,0))</f>
        <v>0</v>
      </c>
      <c r="E54" s="597">
        <f>(E$62+E$67)/INDEX(real_to_nominal_CF,MATCH('R10 - Pensions &amp; Oth Activities'!E52,calendar_year,0))</f>
        <v>0</v>
      </c>
      <c r="F54" s="597">
        <f>(F$62+F$67)/INDEX(real_to_nominal_CF,MATCH('R10 - Pensions &amp; Oth Activities'!F52,calendar_year,0))</f>
        <v>0</v>
      </c>
      <c r="G54" s="597">
        <f>(G$62+G$67)/INDEX(real_to_nominal_CF,MATCH('R10 - Pensions &amp; Oth Activities'!G52,calendar_year,0))</f>
        <v>0</v>
      </c>
      <c r="H54" s="597">
        <f>(H$62+H$67)/INDEX(real_to_nominal_CF,MATCH('R10 - Pensions &amp; Oth Activities'!H52,calendar_year,0))</f>
        <v>0</v>
      </c>
      <c r="I54" s="1"/>
    </row>
    <row r="55" spans="1:9">
      <c r="D55" s="243"/>
      <c r="E55" s="243"/>
      <c r="F55" s="243"/>
      <c r="G55" s="243"/>
      <c r="H55" s="243"/>
    </row>
    <row r="56" spans="1:9">
      <c r="B56" s="6" t="s">
        <v>521</v>
      </c>
      <c r="D56" s="243"/>
      <c r="E56" s="243"/>
      <c r="F56" s="243"/>
      <c r="G56" s="243"/>
      <c r="H56" s="243"/>
    </row>
    <row r="57" spans="1:9">
      <c r="B57" s="653" t="s">
        <v>522</v>
      </c>
      <c r="C57" s="75" t="s">
        <v>194</v>
      </c>
      <c r="D57" s="590">
        <v>0</v>
      </c>
      <c r="E57" s="590">
        <v>0</v>
      </c>
      <c r="F57" s="590">
        <v>0</v>
      </c>
      <c r="G57" s="590">
        <v>0</v>
      </c>
      <c r="H57" s="590">
        <v>0</v>
      </c>
    </row>
    <row r="58" spans="1:9">
      <c r="B58" s="653" t="s">
        <v>522</v>
      </c>
      <c r="C58" s="75" t="s">
        <v>194</v>
      </c>
      <c r="D58" s="590">
        <v>0</v>
      </c>
      <c r="E58" s="590">
        <v>0</v>
      </c>
      <c r="F58" s="590">
        <v>0</v>
      </c>
      <c r="G58" s="590">
        <v>0</v>
      </c>
      <c r="H58" s="590">
        <v>0</v>
      </c>
    </row>
    <row r="59" spans="1:9">
      <c r="B59" s="653" t="s">
        <v>436</v>
      </c>
      <c r="C59" s="75" t="s">
        <v>194</v>
      </c>
      <c r="D59" s="590">
        <v>0</v>
      </c>
      <c r="E59" s="590">
        <v>0</v>
      </c>
      <c r="F59" s="590">
        <v>0</v>
      </c>
      <c r="G59" s="590">
        <v>0</v>
      </c>
      <c r="H59" s="590">
        <v>0</v>
      </c>
    </row>
    <row r="60" spans="1:9">
      <c r="B60" s="6" t="s">
        <v>523</v>
      </c>
      <c r="C60" s="75" t="s">
        <v>194</v>
      </c>
      <c r="D60" s="597">
        <f t="shared" ref="D60:H60" si="6">SUM(D57:D59)</f>
        <v>0</v>
      </c>
      <c r="E60" s="597">
        <f t="shared" si="6"/>
        <v>0</v>
      </c>
      <c r="F60" s="597">
        <f t="shared" si="6"/>
        <v>0</v>
      </c>
      <c r="G60" s="597">
        <f t="shared" si="6"/>
        <v>0</v>
      </c>
      <c r="H60" s="597">
        <f t="shared" si="6"/>
        <v>0</v>
      </c>
    </row>
    <row r="61" spans="1:9">
      <c r="B61" s="2" t="s">
        <v>524</v>
      </c>
      <c r="C61" s="75" t="s">
        <v>194</v>
      </c>
      <c r="D61" s="590">
        <v>0</v>
      </c>
      <c r="E61" s="590">
        <v>0</v>
      </c>
      <c r="F61" s="590">
        <v>0</v>
      </c>
      <c r="G61" s="590">
        <v>0</v>
      </c>
      <c r="H61" s="590">
        <v>0</v>
      </c>
    </row>
    <row r="62" spans="1:9">
      <c r="B62" s="5" t="s">
        <v>525</v>
      </c>
      <c r="C62" s="75" t="s">
        <v>194</v>
      </c>
      <c r="D62" s="597">
        <f t="shared" ref="D62:H62" si="7">D60-D61</f>
        <v>0</v>
      </c>
      <c r="E62" s="597">
        <f t="shared" si="7"/>
        <v>0</v>
      </c>
      <c r="F62" s="597">
        <f t="shared" si="7"/>
        <v>0</v>
      </c>
      <c r="G62" s="597">
        <f t="shared" si="7"/>
        <v>0</v>
      </c>
      <c r="H62" s="597">
        <f t="shared" si="7"/>
        <v>0</v>
      </c>
    </row>
    <row r="64" spans="1:9">
      <c r="B64" s="6" t="s">
        <v>526</v>
      </c>
      <c r="D64" s="243"/>
      <c r="E64" s="243"/>
      <c r="F64" s="243"/>
      <c r="G64" s="243"/>
      <c r="H64" s="243"/>
    </row>
    <row r="65" spans="2:8">
      <c r="B65" s="653" t="s">
        <v>527</v>
      </c>
      <c r="C65" s="75" t="s">
        <v>194</v>
      </c>
      <c r="D65" s="590">
        <v>0</v>
      </c>
      <c r="E65" s="590">
        <v>0</v>
      </c>
      <c r="F65" s="590">
        <v>0</v>
      </c>
      <c r="G65" s="590">
        <v>0</v>
      </c>
      <c r="H65" s="590">
        <v>0</v>
      </c>
    </row>
    <row r="66" spans="2:8">
      <c r="B66" s="2" t="s">
        <v>524</v>
      </c>
      <c r="C66" s="75" t="s">
        <v>194</v>
      </c>
      <c r="D66" s="590">
        <v>0</v>
      </c>
      <c r="E66" s="590">
        <v>0</v>
      </c>
      <c r="F66" s="590">
        <v>0</v>
      </c>
      <c r="G66" s="590">
        <v>0</v>
      </c>
      <c r="H66" s="590">
        <v>0</v>
      </c>
    </row>
    <row r="67" spans="2:8">
      <c r="B67" s="5" t="s">
        <v>528</v>
      </c>
      <c r="C67" s="75" t="s">
        <v>194</v>
      </c>
      <c r="D67" s="597">
        <f t="shared" ref="D67:H67" si="8">D65-D66</f>
        <v>0</v>
      </c>
      <c r="E67" s="597">
        <f t="shared" si="8"/>
        <v>0</v>
      </c>
      <c r="F67" s="597">
        <f t="shared" si="8"/>
        <v>0</v>
      </c>
      <c r="G67" s="597">
        <f t="shared" si="8"/>
        <v>0</v>
      </c>
      <c r="H67" s="597">
        <f t="shared" si="8"/>
        <v>0</v>
      </c>
    </row>
  </sheetData>
  <mergeCells count="1">
    <mergeCell ref="D25:D27"/>
  </mergeCells>
  <conditionalFormatting sqref="D6:G6 D52:G52">
    <cfRule type="expression" dxfId="8" priority="20">
      <formula>AND(D$4="Actuals",E$4="Forecast")</formula>
    </cfRule>
  </conditionalFormatting>
  <conditionalFormatting sqref="D12:H12 D14:H15">
    <cfRule type="expression" dxfId="7" priority="14">
      <formula>D$5="Forecast"</formula>
    </cfRule>
    <cfRule type="expression" dxfId="6" priority="15">
      <formula>D$5="Actuals"</formula>
    </cfRule>
  </conditionalFormatting>
  <conditionalFormatting sqref="D5:G6 D51:G52 I5:I12 I14:I54">
    <cfRule type="expression" dxfId="5" priority="13">
      <formula>AND(D$5="Actuals",E$5="Forecast")</formula>
    </cfRule>
  </conditionalFormatting>
  <conditionalFormatting sqref="D25">
    <cfRule type="expression" dxfId="4" priority="10">
      <formula>AND(E$4="Actuals",F$4="Forecast")</formula>
    </cfRule>
  </conditionalFormatting>
  <conditionalFormatting sqref="H6 H52">
    <cfRule type="expression" dxfId="3" priority="266">
      <formula>AND(H$4="Actuals",#REF!="Forecast")</formula>
    </cfRule>
  </conditionalFormatting>
  <conditionalFormatting sqref="H5:H6 H51:H52">
    <cfRule type="expression" dxfId="2" priority="274">
      <formula>AND(H$5="Actuals",#REF!="Forecast")</formula>
    </cfRule>
  </conditionalFormatting>
  <conditionalFormatting sqref="D7:H7">
    <cfRule type="expression" dxfId="1" priority="1">
      <formula>AND(D$5="Actuals",E$5="Forecast")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&amp;C&amp;"Calibri"&amp;11&amp;K000000_x000D_&amp;1#&amp;"Calibri"&amp;12&amp;K008000Internal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045BB1054A305E4199FB9992CE5E8990" ma:contentTypeVersion="3" ma:contentTypeDescription="Create a new document." ma:contentTypeScope="" ma:versionID="c0f7a11b25610f3770985f9c8c3036de">
  <xsd:schema xmlns:xsd="http://www.w3.org/2001/XMLSchema" xmlns:xs="http://www.w3.org/2001/XMLSchema" xmlns:p="http://schemas.microsoft.com/office/2006/metadata/properties" xmlns:ns2="3ea75854-279e-4633-9f58-d37b9e968ebf" targetNamespace="http://schemas.microsoft.com/office/2006/metadata/properties" ma:root="true" ma:fieldsID="a5ed418ed9e7d9a96d6517df9b61fe69" ns2:_="">
    <xsd:import namespace="3ea75854-279e-4633-9f58-d37b9e968ebf"/>
    <xsd:element name="properties">
      <xsd:complexType>
        <xsd:sequence>
          <xsd:element name="documentManagement">
            <xsd:complexType>
              <xsd:all>
                <xsd:element ref="ns2:Licensee" minOccurs="0"/>
                <xsd:element ref="ns2:Regulatory_x0020_Year"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54-279e-4633-9f58-d37b9e968ebf" elementFormDefault="qualified">
    <xsd:import namespace="http://schemas.microsoft.com/office/2006/documentManagement/types"/>
    <xsd:import namespace="http://schemas.microsoft.com/office/infopath/2007/PartnerControls"/>
    <xsd:element name="Licensee" ma:index="8" nillable="true" ma:displayName="Licensee" ma:description="SPW EN REG LIFIN" ma:format="Dropdown" ma:internalName="Licensee">
      <xsd:simpleType>
        <xsd:restriction base="dms:Choice">
          <xsd:enumeration value="SPT"/>
          <xsd:enumeration value="SPD"/>
          <xsd:enumeration value="SPM"/>
          <xsd:enumeration value="SPD/SPM"/>
          <xsd:enumeration value="SPD/SPM/SPT"/>
        </xsd:restriction>
      </xsd:simpleType>
    </xsd:element>
    <xsd:element name="Regulatory_x0020_Year" ma:index="9" nillable="true" ma:displayName="Regulatory Year" ma:description="Regulatory year to which document relates" ma:format="Dropdown" ma:internalName="Regulatory_x0020_Year">
      <xsd:simpleType>
        <xsd:restriction base="dms:Choice">
          <xsd:enumeration value="2005/06"/>
          <xsd:enumeration value="2006/07"/>
          <xsd:enumeration value="2007/08"/>
          <xsd:enumeration value="2008/09"/>
          <xsd:enumeration value="2009/10"/>
          <xsd:enumeration value="2010/11"/>
          <xsd:enumeration value="2011/12"/>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restriction>
      </xsd:simpleType>
    </xsd:element>
    <xsd:element name="Document_x0020_Status" ma:index="10" nillable="true" ma:displayName="Document Status" ma:description="Status of the document" ma:format="Dropdown" ma:internalName="Document_x0020_Status">
      <xsd:simpleType>
        <xsd:restriction base="dms:Choice">
          <xsd:enumeration value="In Progress"/>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Document_x0020_Status xmlns="3ea75854-279e-4633-9f58-d37b9e968ebf" xsi:nil="true"/>
    <Licensee xmlns="3ea75854-279e-4633-9f58-d37b9e968ebf" xsi:nil="true"/>
    <Regulatory_x0020_Year xmlns="3ea75854-279e-4633-9f58-d37b9e968ebf" xsi:nil="true"/>
  </documentManagement>
</p:properties>
</file>

<file path=customXml/itemProps1.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8988CE32-15C4-49AF-8F3C-70627311B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54-279e-4633-9f58-d37b9e968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CC285FE4-1466-4BF7-8FA9-67F63A3D57B8}">
  <ds:schemaRefs>
    <ds:schemaRef ds:uri="http://purl.org/dc/terms/"/>
    <ds:schemaRef ds:uri="http://schemas.openxmlformats.org/package/2006/metadata/core-properties"/>
    <ds:schemaRef ds:uri="3ea75854-279e-4633-9f58-d37b9e968eb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63</vt:i4>
      </vt:variant>
    </vt:vector>
  </HeadingPairs>
  <TitlesOfParts>
    <vt:vector size="77"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Holland, David</cp:lastModifiedBy>
  <cp:revision/>
  <dcterms:created xsi:type="dcterms:W3CDTF">2018-06-13T08:32:09Z</dcterms:created>
  <dcterms:modified xsi:type="dcterms:W3CDTF">2022-08-31T18:30:17Z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0x010100045BB1054A305E4199FB9992CE5E8990</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MSIP_Label_019c027e-33b7-45fc-a572-8ffa5d09ec36_Enabled">
    <vt:lpwstr>true</vt:lpwstr>
  </property>
  <property fmtid="{D5CDD505-2E9C-101B-9397-08002B2CF9AE}" pid="33" name="MSIP_Label_019c027e-33b7-45fc-a572-8ffa5d09ec36_SetDate">
    <vt:lpwstr>2022-08-31T11:36:08Z</vt:lpwstr>
  </property>
  <property fmtid="{D5CDD505-2E9C-101B-9397-08002B2CF9AE}" pid="34" name="MSIP_Label_019c027e-33b7-45fc-a572-8ffa5d09ec36_Method">
    <vt:lpwstr>Standard</vt:lpwstr>
  </property>
  <property fmtid="{D5CDD505-2E9C-101B-9397-08002B2CF9AE}" pid="35" name="MSIP_Label_019c027e-33b7-45fc-a572-8ffa5d09ec36_Name">
    <vt:lpwstr>Internal Use</vt:lpwstr>
  </property>
  <property fmtid="{D5CDD505-2E9C-101B-9397-08002B2CF9AE}" pid="36" name="MSIP_Label_019c027e-33b7-45fc-a572-8ffa5d09ec36_SiteId">
    <vt:lpwstr>031a09bc-a2bf-44df-888e-4e09355b7a24</vt:lpwstr>
  </property>
  <property fmtid="{D5CDD505-2E9C-101B-9397-08002B2CF9AE}" pid="37" name="MSIP_Label_019c027e-33b7-45fc-a572-8ffa5d09ec36_ActionId">
    <vt:lpwstr>d5560b50-b56e-4167-98db-51170b511cc6</vt:lpwstr>
  </property>
  <property fmtid="{D5CDD505-2E9C-101B-9397-08002B2CF9AE}" pid="38" name="MSIP_Label_019c027e-33b7-45fc-a572-8ffa5d09ec36_ContentBits">
    <vt:lpwstr>2</vt:lpwstr>
  </property>
</Properties>
</file>