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userName="MILLAR, STEPHEN" algorithmName="SHA-512" hashValue="/SzbkAO68aiM6UuoFZSeY1lxEX8IXsnerS+igamT+R02BQ2b4CUrg8JWesjC3xKoW4pl5G14jy3kxfIeWZCmBA==" saltValue="2wWZ+EX2A057FWMDy3oytA==" spinCount="100000"/>
  <workbookPr codeName="ThisWorkbook"/>
  <mc:AlternateContent xmlns:mc="http://schemas.openxmlformats.org/markup-compatibility/2006">
    <mc:Choice Requires="x15">
      <x15ac:absPath xmlns:x15ac="http://schemas.microsoft.com/office/spreadsheetml/2010/11/ac" url="https://iberdrola.sharepoint.com/sites/spen-npr-licfin/RFPR 2324/01_Consol/02_Final/"/>
    </mc:Choice>
  </mc:AlternateContent>
  <xr:revisionPtr revIDLastSave="0" documentId="14_{5C382F97-160C-486F-9C0D-9D538BB73E42}" xr6:coauthVersionLast="47" xr6:coauthVersionMax="47" xr10:uidLastSave="{00000000-0000-0000-0000-000000000000}"/>
  <bookViews>
    <workbookView xWindow="20370" yWindow="-120" windowWidth="29040" windowHeight="15840" tabRatio="842" xr2:uid="{37A5C833-B79A-4C85-B2C6-63A9D5B4A359}"/>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6 - Net Debt" sheetId="27" r:id="rId10"/>
    <sheet name="R7 - RAV" sheetId="10" r:id="rId11"/>
    <sheet name="R8 - Tax" sheetId="29" r:id="rId12"/>
    <sheet name="R9 - Corporate Governance" sheetId="11" r:id="rId13"/>
    <sheet name="R10 - Pensions &amp; Oth Activities" sheetId="19" r:id="rId14"/>
  </sheet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hidden="1">#REF!</definedName>
    <definedName name="ACwvu.Japan_Capers_Ed_Pub." hidden="1">#REF!</definedName>
    <definedName name="ACwvu.KJP_CC." hidden="1">#REF!</definedName>
    <definedName name="Adjusted_regulated_tax_liability">'R8 - Tax'!$E$36:$I$36</definedName>
    <definedName name="Adjusted_regulated_tax_liability__Reporting_Year">'R8 - Tax'!$E$36:$I$36</definedName>
    <definedName name="ARCMt">#REF!</definedName>
    <definedName name="ARtDR5" comment="Allowed distribution netwrok reveue in 2014/15">#REF!</definedName>
    <definedName name="asdas" hidden="1">{#N/A,#N/A,FALSE,"TMCOMP96";#N/A,#N/A,FALSE,"MAT96";#N/A,#N/A,FALSE,"FANDA96";#N/A,#N/A,FALSE,"INTRAN96";#N/A,#N/A,FALSE,"NAA9697";#N/A,#N/A,FALSE,"ECWEBB";#N/A,#N/A,FALSE,"MFT96";#N/A,#N/A,FALSE,"CTrecon"}</definedName>
    <definedName name="AUM">#REF!</definedName>
    <definedName name="b" hidden="1">{"staff",#N/A,FALSE,"Current Month"}</definedName>
    <definedName name="bb" hidden="1">{#N/A,#N/A,FALSE,"PRJCTED MNTHLY QTY's"}</definedName>
    <definedName name="bbbb" hidden="1">{#N/A,#N/A,FALSE,"PRJCTED QTRLY QTY's"}</definedName>
    <definedName name="bbbbbb" hidden="1">{#N/A,#N/A,FALSE,"PRJCTED QTRLY QTY's"}</definedName>
    <definedName name="BExEZ4HBCC06708765M8A06KCR7P" hidden="1">#N/A</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Mt_2">#REF!</definedName>
    <definedName name="BPC">#REF!</definedName>
    <definedName name="Business_Plan_Incentive">'R1 - RoRE'!$D$67:$H$67</definedName>
    <definedName name="calendar_year">Data!$F$33:$L$33</definedName>
    <definedName name="CAS">#REF!</definedName>
    <definedName name="CGSPM">#REF!</definedName>
    <definedName name="CGSRA">#REF!</definedName>
    <definedName name="CIA">#REF!</definedName>
    <definedName name="CIB">#REF!</definedName>
    <definedName name="CIBt_2">#REF!</definedName>
    <definedName name="CIBt_3">#REF!</definedName>
    <definedName name="CIBt_4">#REF!</definedName>
    <definedName name="CIC">#REF!</definedName>
    <definedName name="CID">#REF!</definedName>
    <definedName name="CIE">#REF!</definedName>
    <definedName name="CIM">#REF!</definedName>
    <definedName name="CMLA">#REF!</definedName>
    <definedName name="CMLB">#REF!</definedName>
    <definedName name="CMLBt_2">#REF!</definedName>
    <definedName name="CMLBt_3">#REF!</definedName>
    <definedName name="CMLBt_4">#REF!</definedName>
    <definedName name="CMLC">#REF!</definedName>
    <definedName name="CMLD">#REF!</definedName>
    <definedName name="CMLE">#REF!</definedName>
    <definedName name="Combined_real_to_nominal_prices_conversion_factor__financial_year_end">Data!$F$36:$L$36</definedName>
    <definedName name="Corporate_Tax">Data!$C$13:$N$13</definedName>
    <definedName name="Cost_of_Equity">Data!$C$6</definedName>
    <definedName name="CPIRt">#REF!</definedName>
    <definedName name="CRC5B">#REF!</definedName>
    <definedName name="CRC5C">#REF!</definedName>
    <definedName name="CRC5E">#REF!</definedName>
    <definedName name="CRIRt">#REF!</definedName>
    <definedName name="CSADt">#REF!</definedName>
    <definedName name="CSAUt">#REF!</definedName>
    <definedName name="CSBDt">#REF!</definedName>
    <definedName name="CSBUt">#REF!</definedName>
    <definedName name="CSCDt">#REF!</definedName>
    <definedName name="CSCUt">#REF!</definedName>
    <definedName name="CT">#REF!</definedName>
    <definedName name="Cwvu.CapersView." hidden="1">#REF!</definedName>
    <definedName name="Cwvu.Japan_Capers_Ed_Pub." hidden="1">#REF!</definedName>
    <definedName name="Debt_performance___at_notional_gearing">'R1 - RoRE'!$D$84:$H$84</definedName>
    <definedName name="Debt_performance___impact_of_actual_gearing">'R1 - RoRE'!$D$85:$H$85</definedName>
    <definedName name="DecimalPlaces">#REF!</definedName>
    <definedName name="dgsgf" hidden="1">{#N/A,#N/A,FALSE,"TMCOMP96";#N/A,#N/A,FALSE,"MAT96";#N/A,#N/A,FALSE,"FANDA96";#N/A,#N/A,FALSE,"INTRAN96";#N/A,#N/A,FALSE,"NAA9697";#N/A,#N/A,FALSE,"ECWEBB";#N/A,#N/A,FALSE,"MFT96";#N/A,#N/A,FALSE,"CTrecon"}</definedName>
    <definedName name="Distribution" hidden="1">#REF!</definedName>
    <definedName name="DLGT">#REF!</definedName>
    <definedName name="DNOName">#REF!</definedName>
    <definedName name="DR5Q">#REF!</definedName>
    <definedName name="ENIA">#REF!</definedName>
    <definedName name="Equity_RAV_based_on_actual_gearing">'R1 - RoRE'!$D$91:$H$91</definedName>
    <definedName name="Equity_Return_on_the_RAV">'R1 - RoRE'!$D$65:$H$65</definedName>
    <definedName name="ESTR">#REF!</definedName>
    <definedName name="ExtraProfiles" hidden="1">#REF!</definedName>
    <definedName name="f" hidden="1">{"'PRODUCTIONCOST SHEET'!$B$3:$G$48"}</definedName>
    <definedName name="ff" hidden="1">{#N/A,#N/A,FALSE,"PRJCTED MNTHLY QTY's"}</definedName>
    <definedName name="fffff" hidden="1">{#N/A,#N/A,FALSE,"PRJCTED QTRLY QTY's"}</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#REF!</definedName>
    <definedName name="GAS">#REF!</definedName>
    <definedName name="ghj" hidden="1">{#N/A,#N/A,FALSE,"TMCOMP96";#N/A,#N/A,FALSE,"MAT96";#N/A,#N/A,FALSE,"FANDA96";#N/A,#N/A,FALSE,"INTRAN96";#N/A,#N/A,FALSE,"NAA9697";#N/A,#N/A,FALSE,"ECWEBB";#N/A,#N/A,FALSE,"MFT96";#N/A,#N/A,FALSE,"CTrecon"}</definedName>
    <definedName name="GIM">#REF!</definedName>
    <definedName name="gjk" hidden="1">{#N/A,#N/A,FALSE,"DI 2 YEAR MASTER SCHEDULE"}</definedName>
    <definedName name="GPIRt">#REF!</definedName>
    <definedName name="GRIRt">#REF!</definedName>
    <definedName name="GTA">#REF!</definedName>
    <definedName name="GTAA">#REF!</definedName>
    <definedName name="gwge" hidden="1">#REF!</definedName>
    <definedName name="HB">#REF!</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#REF!</definedName>
    <definedName name="IRAt">#REF!</definedName>
    <definedName name="IRBt">#REF!</definedName>
    <definedName name="IRCMt">#REF!</definedName>
    <definedName name="It">#REF!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#REF!</definedName>
    <definedName name="khkjk" hidden="1">{"staff",#N/A,FALSE,"Current Month"}</definedName>
    <definedName name="l" hidden="1">{#N/A,#N/A,FALSE,"DI 2 YEAR MASTER SCHEDULE"}</definedName>
    <definedName name="LCN1t">#REF!</definedName>
    <definedName name="LCN2t">#REF!</definedName>
    <definedName name="LDRO">#REF!</definedName>
    <definedName name="LF">#REF!</definedName>
    <definedName name="LFA">#REF!</definedName>
    <definedName name="LFE">#REF!</definedName>
    <definedName name="Licensee">'RFPR cover'!$C$7</definedName>
    <definedName name="ListOffset" hidden="1">1</definedName>
    <definedName name="lkl" hidden="1">{#N/A,#N/A,FALSE,"DI 2 YEAR MASTER SCHEDULE"}</definedName>
    <definedName name="LookupK">#REF!</definedName>
    <definedName name="LookupPPLD">#REF!</definedName>
    <definedName name="materiality_threshold">Data!$F$7</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#REF!</definedName>
    <definedName name="N_A">'R8 - Tax'!$E$11:$H$11</definedName>
    <definedName name="Navigate">'RFPR cover'!$D$2</definedName>
    <definedName name="NCPD">#REF!</definedName>
    <definedName name="NCPM">#REF!</definedName>
    <definedName name="NIAR">#REF!</definedName>
    <definedName name="NIAV">#REF!</definedName>
    <definedName name="nn" hidden="1">{#N/A,#N/A,FALSE,"PRJCTED QTRLY $'s"}</definedName>
    <definedName name="Notional_Gearing">Data!$C$8</definedName>
    <definedName name="NPV_neutral_equity_element_of_RAV">'R1 - RoRE'!$D$90:$H$90</definedName>
    <definedName name="odd" hidden="1">{"staff",#N/A,FALSE,"Current Month"}</definedName>
    <definedName name="ODI_1">'R1 - RoRE'!$D$68:$H$68</definedName>
    <definedName name="ODI_2">'R1 - RoRE'!$D$69:$H$69</definedName>
    <definedName name="ODI_3">'R1 - RoRE'!$D$70:$H$70</definedName>
    <definedName name="ODI_4">'R1 - RoRE'!$D$71:$H$71</definedName>
    <definedName name="ODI_5">'R1 - RoRE'!$D$72:$H$72</definedName>
    <definedName name="ODI_6">'R1 - RoRE'!$D$73:$H$73</definedName>
    <definedName name="OOEE">#REF!</definedName>
    <definedName name="Option2" hidden="1">{#N/A,#N/A,FALSE,"TMCOMP96";#N/A,#N/A,FALSE,"MAT96";#N/A,#N/A,FALSE,"FANDA96";#N/A,#N/A,FALSE,"INTRAN96";#N/A,#N/A,FALSE,"NAA9697";#N/A,#N/A,FALSE,"ECWEBB";#N/A,#N/A,FALSE,"MFT96";#N/A,#N/A,FALSE,"CTrecon"}</definedName>
    <definedName name="ORA_1">'R1 - RoRE'!$D$74:$H$74</definedName>
    <definedName name="ORA_2">'R1 - RoRE'!$D$75:$H$75</definedName>
    <definedName name="ORA_3">'R1 - RoRE'!$D$76:$H$76</definedName>
    <definedName name="ORA_4">'R1 - RoRE'!$D$77:$H$77</definedName>
    <definedName name="ORA_5">'R1 - RoRE'!$D$78:$H$78</definedName>
    <definedName name="ORA_6">'R1 - RoRE'!$D$79:$H$79</definedName>
    <definedName name="ORA_7">'R1 - RoRE'!$D$80:$H$80</definedName>
    <definedName name="ORA_8">'R1 - RoRE'!$D$81:$H$81</definedName>
    <definedName name="Pal_Workbook_GUID" hidden="1">"LJ9YVKRJVQ1A1KNUG7XIT5A9"</definedName>
    <definedName name="PCUDPO">#REF!</definedName>
    <definedName name="PCUDPT">#REF!</definedName>
    <definedName name="Penalties_and_fines">'R1 - RoRE'!$D$82:$H$82</definedName>
    <definedName name="POF">#REF!</definedName>
    <definedName name="Pop" hidden="1">#REF!</definedName>
    <definedName name="Population" hidden="1">#REF!</definedName>
    <definedName name="PPL">#REF!</definedName>
    <definedName name="PRC">#REF!</definedName>
    <definedName name="Price_basis">Data!$C$9</definedName>
    <definedName name="_xlnm.Print_Area" localSheetId="3">'Change log'!$A$1:$E$31</definedName>
    <definedName name="_xlnm.Print_Area" localSheetId="2">'Content &amp; Version Control'!$A$1:$H$19</definedName>
    <definedName name="_xlnm.Print_Area" localSheetId="4">'R1 - RoRE'!$A$1:$L$64</definedName>
    <definedName name="_xlnm.Print_Area" localSheetId="13">'R10 - Pensions &amp; Oth Activities'!$A$1:$H$44</definedName>
    <definedName name="_xlnm.Print_Area" localSheetId="5">'R2 - Rec to Revenue and Profit'!$A$1:$J$63</definedName>
    <definedName name="_xlnm.Print_Area" localSheetId="6">'R3 - Totex - Reconciliation'!$A$1:$J$106</definedName>
    <definedName name="_xlnm.Print_Area" localSheetId="7">'R4 - Incentives and Other Rev'!$A$1:$I$36</definedName>
    <definedName name="_xlnm.Print_Area" localSheetId="8">'R5 - Financing'!$A$1:$I$83</definedName>
    <definedName name="_xlnm.Print_Area" localSheetId="9">'R6 - Net Debt'!$A$1:$I$63</definedName>
    <definedName name="_xlnm.Print_Area" localSheetId="10">'R7 - RAV'!$A$1:$K$38</definedName>
    <definedName name="_xlnm.Print_Area" localSheetId="11">'R8 - Tax'!$A$1:$J$44</definedName>
    <definedName name="_xlnm.Print_Area" localSheetId="12">'R9 - Corporate Governance'!$A$1:$I$18</definedName>
    <definedName name="_xlnm.Print_Area" localSheetId="0">'RFPR cover'!$A$2:$I$82</definedName>
    <definedName name="Profiles" hidden="1">#REF!</definedName>
    <definedName name="Projections" hidden="1">#REF!</definedName>
    <definedName name="PRtDir">#REF!</definedName>
    <definedName name="PT">#REF!</definedName>
    <definedName name="PTPA">#REF!</definedName>
    <definedName name="PTPE">#REF!</definedName>
    <definedName name="PTRA">#REF!</definedName>
    <definedName name="PU">#REF!</definedName>
    <definedName name="PUC">#REF!</definedName>
    <definedName name="PVF">#REF!</definedName>
    <definedName name="qs" hidden="1">{#N/A,#N/A,FALSE,"PRJCTED MNTHLY QTY's"}</definedName>
    <definedName name="RB">#REF!</definedName>
    <definedName name="RBA">#REF!</definedName>
    <definedName name="RBE">#REF!</definedName>
    <definedName name="RD">#REF!</definedName>
    <definedName name="real_to_nominal_CF">Data!$F$34:$L$34</definedName>
    <definedName name="Reporting_Year">'RFPR cover'!$C$9</definedName>
    <definedName name="Results" hidden="1">#REF!</definedName>
    <definedName name="RF">#REF!</definedName>
    <definedName name="RFA">#REF!</definedName>
    <definedName name="RFE">#REF!</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#REF!</definedName>
    <definedName name="RLGt">#REF!</definedName>
    <definedName name="RoRE___including_financing_and_tax">'R1 - RoRE'!$D$88:$H$88</definedName>
    <definedName name="RoRE___Operational_performance">'R1 - RoRE'!$D$83:$H$83</definedName>
    <definedName name="RPI">#REF!</definedName>
    <definedName name="RPIA">#REF!</definedName>
    <definedName name="RPIF">#REF!</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#REF!</definedName>
    <definedName name="SEC">#REF!</definedName>
    <definedName name="SECA">#REF!</definedName>
    <definedName name="SECE">#REF!</definedName>
    <definedName name="Sector">'RFPR cover'!$C$8</definedName>
    <definedName name="SectorCov">'RFPR cover'!$C$8</definedName>
    <definedName name="sfad" hidden="1">{#N/A,#N/A,FALSE,"TMCOMP96";#N/A,#N/A,FALSE,"MAT96";#N/A,#N/A,FALSE,"FANDA96";#N/A,#N/A,FALSE,"INTRAN96";#N/A,#N/A,FALSE,"NAA9697";#N/A,#N/A,FALSE,"ECWEBB";#N/A,#N/A,FALSE,"MFT96";#N/A,#N/A,FALSE,"CTrecon"}</definedName>
    <definedName name="Sharing_Factor">Data!$C$7</definedName>
    <definedName name="SIAS">#REF!</definedName>
    <definedName name="SIIM">#REF!</definedName>
    <definedName name="SIPIRt">#REF!</definedName>
    <definedName name="SIRIRt">#REF!</definedName>
    <definedName name="SLC29_4">#REF!</definedName>
    <definedName name="SLC29_6">#REF!</definedName>
    <definedName name="SMC">#REF!</definedName>
    <definedName name="SMCA">#REF!</definedName>
    <definedName name="SMCE">#REF!</definedName>
    <definedName name="SMIA">#REF!</definedName>
    <definedName name="SMIE">#REF!</definedName>
    <definedName name="SMIT">#REF!</definedName>
    <definedName name="SMITR">#REF!</definedName>
    <definedName name="Submitted_Date">'RFPR cover'!$C$11</definedName>
    <definedName name="SWPD">#REF!</definedName>
    <definedName name="SWPM">#REF!</definedName>
    <definedName name="Swvu.CapersView." hidden="1">#REF!</definedName>
    <definedName name="Swvu.Japan_Capers_Ed_Pub." hidden="1">#REF!</definedName>
    <definedName name="Swvu.KJP_CC." hidden="1">#REF!</definedName>
    <definedName name="TAUt">#REF!</definedName>
    <definedName name="Tax_liability_per_latest_submitted_CT600____Reporting_Year">'R8 - Tax'!$E$11:$I$11</definedName>
    <definedName name="Tax_performance___at_notional_gearing">'R1 - RoRE'!$D$86:$H$86</definedName>
    <definedName name="Tax_performance___impact_of_actual_gearing">'R1 - RoRE'!$D$87:$H$87</definedName>
    <definedName name="TB">#REF!</definedName>
    <definedName name="TBUt">#REF!</definedName>
    <definedName name="TCAIt">#REF!</definedName>
    <definedName name="TCAP">#REF!</definedName>
    <definedName name="TCAREt">#REF!</definedName>
    <definedName name="TCAT">#REF!</definedName>
    <definedName name="TCBIt">#REF!</definedName>
    <definedName name="TCBP">#REF!</definedName>
    <definedName name="TCBREt">#REF!</definedName>
    <definedName name="TCBTt">#REF!</definedName>
    <definedName name="TCGSR">#REF!</definedName>
    <definedName name="TCM">#REF!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ex_outperformance">'R1 - RoRE'!$D$66:$H$66</definedName>
    <definedName name="TQAIt">#REF!</definedName>
    <definedName name="TQAP">#REF!</definedName>
    <definedName name="TQAREt">#REF!</definedName>
    <definedName name="TQAT">#REF!</definedName>
    <definedName name="TQBIt">#REF!</definedName>
    <definedName name="TQBP">#REF!</definedName>
    <definedName name="TQBREt">#REF!</definedName>
    <definedName name="TQBT">#REF!</definedName>
    <definedName name="trggh" hidden="1">{#N/A,#N/A,FALSE,"TMCOMP96";#N/A,#N/A,FALSE,"MAT96";#N/A,#N/A,FALSE,"FANDA96";#N/A,#N/A,FALSE,"INTRAN96";#N/A,#N/A,FALSE,"NAA9697";#N/A,#N/A,FALSE,"ECWEBB";#N/A,#N/A,FALSE,"MFT96";#N/A,#N/A,FALSE,"CTrecon"}</definedName>
    <definedName name="TRIISt">#REF!</definedName>
    <definedName name="TRIMt">#REF!</definedName>
    <definedName name="u" hidden="1">{#VALUE!,#N/A,FALSE,0}</definedName>
    <definedName name="UAG" hidden="1">{#N/A,#N/A,FALSE,"DI 2 YEAR MASTER SCHEDULE"}</definedName>
    <definedName name="UCPIR">#REF!</definedName>
    <definedName name="UNC">#REF!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{"Japan_Capers_Ed_Pub",#N/A,FALSE,"DI 2 YEAR MASTER SCHEDULE"}</definedName>
    <definedName name="Version__Number">'RFPR cover'!$C$10</definedName>
    <definedName name="wrn.CapersPlotter." hidden="1">{#N/A,#N/A,FALSE,"DI 2 YEAR MASTER SCHEDULE"}</definedName>
    <definedName name="wrn.Edutainment._.Priority._.List." hidden="1">{#N/A,#N/A,FALSE,"DI 2 YEAR MASTER SCHEDULE"}</definedName>
    <definedName name="wrn.Japan_Capers_Ed._.Pub." hidden="1">{"Japan_Capers_Ed_Pub",#N/A,FALSE,"DI 2 YEAR MASTER SCHEDULE"}</definedName>
    <definedName name="wrn.Mat." hidden="1">{"staff",#N/A,FALSE,"Current Month"}</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TMCOMP." hidden="1">{#N/A,#N/A,FALSE,"TMCOMP96";#N/A,#N/A,FALSE,"MAT96";#N/A,#N/A,FALSE,"FANDA96";#N/A,#N/A,FALSE,"INTRAN96";#N/A,#N/A,FALSE,"NAA9697";#N/A,#N/A,FALSE,"ECWEBB";#N/A,#N/A,FALSE,"MFT96";#N/A,#N/A,FALSE,"CTrecon"}</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{#N/A,#N/A,FALSE,"DI 2 YEAR MASTER SCHEDULE"}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#REF!</definedName>
    <definedName name="YEFactor">Data!$F$36:$L$36</definedName>
    <definedName name="YEFactor_change">Data!$F$35:$L$35</definedName>
    <definedName name="z" hidden="1">{#N/A,#N/A,FALSE,"DI 2 YEAR MASTER SCHEDULE"}</definedName>
    <definedName name="Z_9A428CE1_B4D9_11D0_A8AA_0000C071AEE7_.wvu.Cols" hidden="1">#REF!,#REF!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1" l="1"/>
  <c r="E57" i="11"/>
  <c r="E61" i="11" s="1"/>
  <c r="D57" i="11"/>
  <c r="D61" i="11" s="1"/>
  <c r="E42" i="11"/>
  <c r="D42" i="11"/>
  <c r="F42" i="11"/>
  <c r="F46" i="11"/>
  <c r="F65" i="11" s="1"/>
  <c r="D34" i="11"/>
  <c r="D45" i="11" s="1"/>
  <c r="D64" i="11" s="1"/>
  <c r="F57" i="11"/>
  <c r="E46" i="11"/>
  <c r="E65" i="11" s="1"/>
  <c r="D46" i="11"/>
  <c r="D65" i="11" s="1"/>
  <c r="M28" i="28"/>
  <c r="E34" i="11" l="1"/>
  <c r="E45" i="11" s="1"/>
  <c r="E64" i="11" s="1"/>
  <c r="F45" i="11"/>
  <c r="F64" i="11" s="1"/>
  <c r="F61" i="11"/>
  <c r="H35" i="28"/>
  <c r="E73" i="1" l="1"/>
  <c r="F73" i="1"/>
  <c r="G73" i="1"/>
  <c r="H73" i="1"/>
  <c r="D73" i="1"/>
  <c r="F19" i="4"/>
  <c r="G19" i="4"/>
  <c r="H19" i="4"/>
  <c r="I19" i="4"/>
  <c r="C9" i="28" l="1"/>
  <c r="G134" i="28"/>
  <c r="G136" i="28"/>
  <c r="M29" i="28" l="1"/>
  <c r="N29" i="28" s="1"/>
  <c r="N28" i="28"/>
  <c r="N25" i="28"/>
  <c r="M25" i="28"/>
  <c r="L25" i="28"/>
  <c r="K25" i="28"/>
  <c r="J25" i="28"/>
  <c r="I25" i="28"/>
  <c r="H25" i="28"/>
  <c r="G25" i="28"/>
  <c r="F25" i="28"/>
  <c r="E25" i="28"/>
  <c r="D25" i="28"/>
  <c r="C25" i="28"/>
  <c r="J316" i="28"/>
  <c r="J317" i="28"/>
  <c r="J318" i="28"/>
  <c r="J319" i="28"/>
  <c r="J320" i="28"/>
  <c r="J321" i="28"/>
  <c r="J322" i="28"/>
  <c r="J323" i="28"/>
  <c r="J324" i="28"/>
  <c r="J325" i="28"/>
  <c r="J326" i="28"/>
  <c r="J327" i="28"/>
  <c r="J328" i="28"/>
  <c r="J329" i="28"/>
  <c r="J330" i="28"/>
  <c r="J331" i="28"/>
  <c r="J332" i="28"/>
  <c r="J333" i="28"/>
  <c r="J334" i="28"/>
  <c r="J335" i="28"/>
  <c r="J336" i="28"/>
  <c r="J337" i="28"/>
  <c r="J338" i="28"/>
  <c r="J339" i="28"/>
  <c r="J340" i="28"/>
  <c r="J341" i="28"/>
  <c r="J342" i="28"/>
  <c r="J343" i="28"/>
  <c r="J315" i="28"/>
  <c r="C6" i="13" l="1" a="1"/>
  <c r="C6" i="13" s="1"/>
  <c r="J19" i="5"/>
  <c r="J20" i="5"/>
  <c r="J67" i="5" l="1"/>
  <c r="J68" i="5"/>
  <c r="J69" i="5"/>
  <c r="J70" i="5"/>
  <c r="J66" i="5"/>
  <c r="J56" i="5"/>
  <c r="J57" i="5"/>
  <c r="J55" i="5"/>
  <c r="J42" i="5"/>
  <c r="J43" i="5"/>
  <c r="J41" i="5"/>
  <c r="J21" i="5"/>
  <c r="J18" i="5"/>
  <c r="J17" i="5"/>
  <c r="J16" i="5"/>
  <c r="J15" i="5"/>
  <c r="J14" i="5"/>
  <c r="N349" i="28" l="1"/>
  <c r="O349" i="28" s="1"/>
  <c r="P349" i="28" s="1"/>
  <c r="Q349" i="28" s="1"/>
  <c r="R349" i="28" s="1"/>
  <c r="S349" i="28" s="1"/>
  <c r="D339" i="28" l="1"/>
  <c r="E339" i="28"/>
  <c r="F339" i="28"/>
  <c r="G339" i="28"/>
  <c r="C339" i="28"/>
  <c r="N314" i="28" l="1"/>
  <c r="O314" i="28" s="1"/>
  <c r="P314" i="28" s="1"/>
  <c r="Q314" i="28" s="1"/>
  <c r="R314" i="28" s="1"/>
  <c r="S314" i="28" s="1"/>
  <c r="D314" i="28" l="1"/>
  <c r="E314" i="28" s="1"/>
  <c r="F314" i="28" s="1"/>
  <c r="G314" i="28" s="1"/>
  <c r="H314" i="28" s="1"/>
  <c r="I314" i="28" s="1"/>
  <c r="A3" i="29"/>
  <c r="D23" i="11"/>
  <c r="E80" i="1" l="1"/>
  <c r="F84" i="4"/>
  <c r="G84" i="4"/>
  <c r="H84" i="4"/>
  <c r="I84" i="4"/>
  <c r="E84" i="4"/>
  <c r="E129" i="2" l="1"/>
  <c r="F129" i="2"/>
  <c r="G129" i="2"/>
  <c r="H129" i="2"/>
  <c r="D150" i="2"/>
  <c r="E69" i="4" l="1"/>
  <c r="F69" i="4"/>
  <c r="E68" i="4"/>
  <c r="D129" i="2" l="1"/>
  <c r="E150" i="2"/>
  <c r="F150" i="2"/>
  <c r="G150" i="2"/>
  <c r="H150" i="2"/>
  <c r="J24" i="2" l="1"/>
  <c r="J25" i="2"/>
  <c r="J26" i="2"/>
  <c r="J27" i="2"/>
  <c r="J28" i="2"/>
  <c r="E194" i="2" l="1"/>
  <c r="F194" i="2"/>
  <c r="G194" i="2"/>
  <c r="H194" i="2"/>
  <c r="D194" i="2"/>
  <c r="D58" i="5" l="1"/>
  <c r="E6" i="29" l="1"/>
  <c r="E5" i="29" s="1"/>
  <c r="E7" i="29"/>
  <c r="G26" i="10"/>
  <c r="J26" i="10"/>
  <c r="I26" i="10"/>
  <c r="H26" i="10"/>
  <c r="F26" i="10"/>
  <c r="F203" i="28"/>
  <c r="F202" i="28"/>
  <c r="F87" i="28"/>
  <c r="H64" i="2"/>
  <c r="G64" i="2"/>
  <c r="F64" i="2"/>
  <c r="E64" i="2"/>
  <c r="D64" i="2"/>
  <c r="J63" i="2"/>
  <c r="J62" i="2"/>
  <c r="H35" i="2"/>
  <c r="G35" i="2"/>
  <c r="F35" i="2"/>
  <c r="E35" i="2"/>
  <c r="D35" i="2"/>
  <c r="J34" i="2"/>
  <c r="J33" i="2"/>
  <c r="D59" i="5"/>
  <c r="F102" i="4"/>
  <c r="G102" i="4"/>
  <c r="H102" i="4"/>
  <c r="I102" i="4"/>
  <c r="E102" i="4"/>
  <c r="D7" i="2"/>
  <c r="J64" i="2" l="1"/>
  <c r="J35" i="2"/>
  <c r="G57" i="11" l="1"/>
  <c r="H57" i="11"/>
  <c r="F33" i="28" l="1"/>
  <c r="E59" i="5"/>
  <c r="F59" i="5"/>
  <c r="G59" i="5"/>
  <c r="H59" i="5"/>
  <c r="D52" i="5"/>
  <c r="E45" i="5"/>
  <c r="F45" i="5"/>
  <c r="G45" i="5"/>
  <c r="H45" i="5"/>
  <c r="D45" i="5"/>
  <c r="J45" i="5" l="1"/>
  <c r="J59" i="5"/>
  <c r="E32" i="28"/>
  <c r="B76" i="1" l="1"/>
  <c r="B49" i="1" s="1"/>
  <c r="H58" i="5"/>
  <c r="G58" i="5"/>
  <c r="F58" i="5"/>
  <c r="E58" i="5"/>
  <c r="J58" i="5" l="1"/>
  <c r="B22" i="1"/>
  <c r="A3" i="4"/>
  <c r="D78" i="1" l="1"/>
  <c r="E78" i="1"/>
  <c r="F78" i="1"/>
  <c r="G78" i="1"/>
  <c r="H78" i="1"/>
  <c r="D79" i="1"/>
  <c r="E79" i="1"/>
  <c r="F79" i="1"/>
  <c r="G79" i="1"/>
  <c r="H79" i="1"/>
  <c r="D80" i="1"/>
  <c r="F80" i="1"/>
  <c r="G80" i="1"/>
  <c r="H80" i="1"/>
  <c r="D81" i="1"/>
  <c r="E81" i="1"/>
  <c r="F81" i="1"/>
  <c r="G81" i="1"/>
  <c r="H81" i="1"/>
  <c r="E77" i="1"/>
  <c r="F77" i="1"/>
  <c r="G77" i="1"/>
  <c r="H77" i="1"/>
  <c r="D77" i="1"/>
  <c r="E75" i="1"/>
  <c r="F75" i="1"/>
  <c r="G75" i="1"/>
  <c r="H75" i="1"/>
  <c r="B75" i="1"/>
  <c r="B74" i="1"/>
  <c r="D69" i="1" l="1"/>
  <c r="E69" i="1"/>
  <c r="F69" i="1"/>
  <c r="G69" i="1"/>
  <c r="H69" i="1"/>
  <c r="D70" i="1"/>
  <c r="E70" i="1"/>
  <c r="F70" i="1"/>
  <c r="G70" i="1"/>
  <c r="H70" i="1"/>
  <c r="D71" i="1"/>
  <c r="E71" i="1"/>
  <c r="F71" i="1"/>
  <c r="G71" i="1"/>
  <c r="H71" i="1"/>
  <c r="D72" i="1"/>
  <c r="E72" i="1"/>
  <c r="F72" i="1"/>
  <c r="G72" i="1"/>
  <c r="H72" i="1"/>
  <c r="E68" i="1"/>
  <c r="F68" i="1"/>
  <c r="G68" i="1"/>
  <c r="H68" i="1"/>
  <c r="D68" i="1"/>
  <c r="K73" i="1" l="1"/>
  <c r="G23" i="10" l="1"/>
  <c r="H23" i="10"/>
  <c r="I23" i="10"/>
  <c r="J23" i="10"/>
  <c r="F23" i="10"/>
  <c r="G20" i="10"/>
  <c r="H20" i="10"/>
  <c r="I20" i="10"/>
  <c r="J20" i="10"/>
  <c r="F20" i="10"/>
  <c r="E159" i="2" l="1"/>
  <c r="E160" i="2" s="1"/>
  <c r="F159" i="2"/>
  <c r="F160" i="2" s="1"/>
  <c r="G159" i="2"/>
  <c r="G160" i="2" s="1"/>
  <c r="H159" i="2"/>
  <c r="H160" i="2" s="1"/>
  <c r="F75" i="4"/>
  <c r="G75" i="4"/>
  <c r="E75" i="4"/>
  <c r="D159" i="2"/>
  <c r="D160" i="2" s="1"/>
  <c r="I75" i="4" l="1"/>
  <c r="H75" i="4"/>
  <c r="F89" i="4" l="1"/>
  <c r="F91" i="4" s="1"/>
  <c r="G89" i="4"/>
  <c r="G91" i="4" s="1"/>
  <c r="H89" i="4"/>
  <c r="H91" i="4" s="1"/>
  <c r="I89" i="4"/>
  <c r="I91" i="4" s="1"/>
  <c r="C43" i="19" l="1"/>
  <c r="C42" i="19"/>
  <c r="C40" i="19"/>
  <c r="C39" i="19"/>
  <c r="C37" i="19"/>
  <c r="C36" i="19"/>
  <c r="C34" i="19"/>
  <c r="C33" i="19"/>
  <c r="C14" i="4" l="1"/>
  <c r="C16" i="4"/>
  <c r="C17" i="4"/>
  <c r="C19" i="4"/>
  <c r="H88" i="2" l="1"/>
  <c r="G88" i="2"/>
  <c r="F88" i="2"/>
  <c r="E88" i="2"/>
  <c r="D88" i="2"/>
  <c r="J87" i="2"/>
  <c r="J86" i="2"/>
  <c r="J58" i="2"/>
  <c r="J88" i="2" l="1"/>
  <c r="J29" i="2" l="1"/>
  <c r="B3" i="1" l="1"/>
  <c r="G69" i="4" l="1"/>
  <c r="H69" i="4"/>
  <c r="I69" i="4"/>
  <c r="E89" i="4"/>
  <c r="E91" i="4" s="1"/>
  <c r="F68" i="4" l="1"/>
  <c r="G68" i="4"/>
  <c r="H68" i="4"/>
  <c r="I68" i="4"/>
  <c r="B3" i="17" l="1"/>
  <c r="B3" i="27" l="1"/>
  <c r="C8" i="28"/>
  <c r="H36" i="10" s="1"/>
  <c r="E17" i="2"/>
  <c r="E51" i="2"/>
  <c r="E80" i="2"/>
  <c r="D6" i="5"/>
  <c r="C8" i="13"/>
  <c r="E34" i="28" s="1"/>
  <c r="F17" i="2"/>
  <c r="F51" i="2"/>
  <c r="F80" i="2"/>
  <c r="G17" i="2"/>
  <c r="G51" i="2"/>
  <c r="G80" i="2"/>
  <c r="H17" i="2"/>
  <c r="H51" i="2"/>
  <c r="H80" i="2"/>
  <c r="D17" i="2"/>
  <c r="D51" i="2"/>
  <c r="D80" i="2"/>
  <c r="D54" i="28"/>
  <c r="E54" i="28" s="1"/>
  <c r="F54" i="28" s="1"/>
  <c r="O87" i="28" s="1"/>
  <c r="P62" i="28"/>
  <c r="H71" i="5"/>
  <c r="G71" i="5"/>
  <c r="F71" i="5"/>
  <c r="E71" i="5"/>
  <c r="D71" i="5"/>
  <c r="H22" i="5"/>
  <c r="G22" i="5"/>
  <c r="F22" i="5"/>
  <c r="E22" i="5"/>
  <c r="D22" i="5"/>
  <c r="D41" i="28"/>
  <c r="E41" i="28" s="1"/>
  <c r="F41" i="28" s="1"/>
  <c r="F64" i="28"/>
  <c r="F65" i="28"/>
  <c r="F66" i="28"/>
  <c r="F67" i="28"/>
  <c r="F68" i="28"/>
  <c r="F69" i="28"/>
  <c r="F70" i="28"/>
  <c r="F71" i="28"/>
  <c r="F72" i="28"/>
  <c r="F73" i="28"/>
  <c r="F74" i="28"/>
  <c r="F75" i="28"/>
  <c r="F76" i="28"/>
  <c r="F77" i="28"/>
  <c r="F78" i="28"/>
  <c r="F79" i="28"/>
  <c r="F80" i="28"/>
  <c r="F81" i="28"/>
  <c r="F82" i="28"/>
  <c r="F83" i="28"/>
  <c r="F84" i="28"/>
  <c r="F85" i="28"/>
  <c r="F86" i="28"/>
  <c r="F88" i="28"/>
  <c r="F89" i="28"/>
  <c r="F90" i="28"/>
  <c r="F91" i="28"/>
  <c r="F63" i="28"/>
  <c r="K20" i="28"/>
  <c r="K19" i="28"/>
  <c r="L19" i="28" s="1"/>
  <c r="M19" i="28" s="1"/>
  <c r="N19" i="28" s="1"/>
  <c r="K21" i="28"/>
  <c r="L21" i="28" s="1"/>
  <c r="M21" i="28" s="1"/>
  <c r="N21" i="28" s="1"/>
  <c r="H110" i="2"/>
  <c r="G110" i="2"/>
  <c r="F110" i="2"/>
  <c r="E110" i="2"/>
  <c r="D110" i="2"/>
  <c r="H7" i="1"/>
  <c r="G7" i="1"/>
  <c r="F7" i="1"/>
  <c r="E7" i="1"/>
  <c r="D7" i="1"/>
  <c r="H7" i="19"/>
  <c r="G7" i="19"/>
  <c r="F7" i="19"/>
  <c r="E7" i="19"/>
  <c r="D7" i="19"/>
  <c r="H7" i="11"/>
  <c r="G7" i="11"/>
  <c r="F7" i="11"/>
  <c r="E7" i="11"/>
  <c r="D7" i="11"/>
  <c r="I7" i="29"/>
  <c r="H7" i="29"/>
  <c r="G7" i="29"/>
  <c r="F7" i="29"/>
  <c r="J7" i="10"/>
  <c r="I7" i="10"/>
  <c r="H7" i="10"/>
  <c r="G7" i="10"/>
  <c r="F7" i="10"/>
  <c r="H7" i="27"/>
  <c r="G7" i="27"/>
  <c r="F7" i="27"/>
  <c r="E7" i="27"/>
  <c r="D7" i="27"/>
  <c r="H7" i="17"/>
  <c r="G7" i="17"/>
  <c r="F7" i="17"/>
  <c r="E7" i="17"/>
  <c r="D7" i="17"/>
  <c r="H7" i="5"/>
  <c r="G7" i="5"/>
  <c r="F7" i="5"/>
  <c r="E7" i="5"/>
  <c r="D7" i="5"/>
  <c r="H7" i="2"/>
  <c r="G7" i="2"/>
  <c r="F7" i="2"/>
  <c r="E7" i="2"/>
  <c r="I7" i="4"/>
  <c r="H7" i="4"/>
  <c r="F7" i="4"/>
  <c r="E7" i="4"/>
  <c r="E6" i="4"/>
  <c r="D6" i="1"/>
  <c r="G7" i="4"/>
  <c r="G61" i="11"/>
  <c r="H61" i="11"/>
  <c r="A3" i="21"/>
  <c r="A3" i="1"/>
  <c r="A3" i="14"/>
  <c r="A3" i="2"/>
  <c r="A3" i="5"/>
  <c r="A3" i="17"/>
  <c r="A3" i="27"/>
  <c r="A3" i="10"/>
  <c r="A3" i="11"/>
  <c r="A3" i="19"/>
  <c r="A3" i="28"/>
  <c r="D51" i="5"/>
  <c r="D44" i="5"/>
  <c r="D97" i="28"/>
  <c r="E97" i="28" s="1"/>
  <c r="F97" i="28" s="1"/>
  <c r="G97" i="28" s="1"/>
  <c r="H97" i="28" s="1"/>
  <c r="I97" i="28" s="1"/>
  <c r="I62" i="28"/>
  <c r="A2" i="14"/>
  <c r="A2" i="1"/>
  <c r="A2" i="4"/>
  <c r="A2" i="2"/>
  <c r="A2" i="5"/>
  <c r="A2" i="17"/>
  <c r="A2" i="27"/>
  <c r="A2" i="10"/>
  <c r="A2" i="29"/>
  <c r="A2" i="11"/>
  <c r="A2" i="19"/>
  <c r="A2" i="21"/>
  <c r="A2" i="28"/>
  <c r="F72" i="4"/>
  <c r="G72" i="4"/>
  <c r="H72" i="4"/>
  <c r="I72" i="4"/>
  <c r="E72" i="4"/>
  <c r="E81" i="4" s="1"/>
  <c r="E93" i="4" s="1"/>
  <c r="F196" i="28"/>
  <c r="F195" i="28"/>
  <c r="A3" i="13"/>
  <c r="D60" i="19"/>
  <c r="D62" i="19" s="1"/>
  <c r="E60" i="19"/>
  <c r="E62" i="19" s="1"/>
  <c r="F60" i="19"/>
  <c r="F62" i="19" s="1"/>
  <c r="G60" i="19"/>
  <c r="G62" i="19" s="1"/>
  <c r="H60" i="19"/>
  <c r="H62" i="19" s="1"/>
  <c r="D67" i="19"/>
  <c r="E67" i="19"/>
  <c r="F67" i="19"/>
  <c r="G67" i="19"/>
  <c r="H67" i="19"/>
  <c r="G46" i="11"/>
  <c r="G65" i="11" s="1"/>
  <c r="H46" i="11"/>
  <c r="H65" i="11" s="1"/>
  <c r="G34" i="11"/>
  <c r="H34" i="11"/>
  <c r="G42" i="11"/>
  <c r="H42" i="11"/>
  <c r="E44" i="5"/>
  <c r="F44" i="5"/>
  <c r="G44" i="5"/>
  <c r="H44" i="5"/>
  <c r="D122" i="2"/>
  <c r="D131" i="2" s="1"/>
  <c r="E122" i="2"/>
  <c r="E131" i="2" s="1"/>
  <c r="F122" i="2"/>
  <c r="F131" i="2" s="1"/>
  <c r="G122" i="2"/>
  <c r="G131" i="2" s="1"/>
  <c r="H122" i="2"/>
  <c r="H131" i="2" s="1"/>
  <c r="H78" i="2"/>
  <c r="G78" i="2"/>
  <c r="F78" i="2"/>
  <c r="E78" i="2"/>
  <c r="D78" i="2"/>
  <c r="J77" i="2"/>
  <c r="J76" i="2"/>
  <c r="B47" i="1"/>
  <c r="D16" i="28"/>
  <c r="E16" i="28"/>
  <c r="F16" i="28"/>
  <c r="G16" i="28"/>
  <c r="H16" i="28"/>
  <c r="I16" i="28"/>
  <c r="J16" i="28"/>
  <c r="K16" i="28"/>
  <c r="L16" i="28"/>
  <c r="M16" i="28"/>
  <c r="N16" i="28"/>
  <c r="C16" i="28"/>
  <c r="C7" i="28"/>
  <c r="D52" i="19"/>
  <c r="E52" i="19" s="1"/>
  <c r="F52" i="19" s="1"/>
  <c r="F51" i="19" s="1"/>
  <c r="D109" i="2"/>
  <c r="D108" i="2" s="1"/>
  <c r="F201" i="28"/>
  <c r="F200" i="28"/>
  <c r="F199" i="28"/>
  <c r="E228" i="28"/>
  <c r="F198" i="28" s="1"/>
  <c r="B228" i="28"/>
  <c r="F197" i="28" s="1"/>
  <c r="G137" i="28"/>
  <c r="B30" i="1"/>
  <c r="J48" i="17"/>
  <c r="D40" i="19"/>
  <c r="D39" i="19"/>
  <c r="H23" i="19"/>
  <c r="G23" i="19"/>
  <c r="F23" i="19"/>
  <c r="E23" i="19"/>
  <c r="D23" i="19"/>
  <c r="H16" i="11"/>
  <c r="G16" i="11"/>
  <c r="F16" i="11"/>
  <c r="E16" i="11"/>
  <c r="D16" i="11"/>
  <c r="I20" i="29"/>
  <c r="H20" i="29"/>
  <c r="G20" i="29"/>
  <c r="F20" i="29"/>
  <c r="E20" i="29"/>
  <c r="F17" i="10"/>
  <c r="H9" i="27"/>
  <c r="G9" i="27"/>
  <c r="H63" i="27"/>
  <c r="G63" i="27"/>
  <c r="F63" i="27"/>
  <c r="E63" i="27"/>
  <c r="D63" i="27"/>
  <c r="E9" i="27"/>
  <c r="J54" i="17"/>
  <c r="J53" i="17"/>
  <c r="J52" i="17"/>
  <c r="J51" i="17"/>
  <c r="J50" i="17"/>
  <c r="J49" i="17"/>
  <c r="F56" i="17"/>
  <c r="I6" i="17"/>
  <c r="I5" i="17" s="1"/>
  <c r="I6" i="5"/>
  <c r="I5" i="5" s="1"/>
  <c r="I6" i="2"/>
  <c r="I56" i="4"/>
  <c r="H56" i="4"/>
  <c r="G56" i="4"/>
  <c r="F56" i="4"/>
  <c r="E56" i="4"/>
  <c r="I37" i="4"/>
  <c r="H37" i="4"/>
  <c r="G37" i="4"/>
  <c r="F37" i="4"/>
  <c r="E37" i="4"/>
  <c r="B59" i="1"/>
  <c r="B56" i="1"/>
  <c r="B55" i="1"/>
  <c r="B40" i="1"/>
  <c r="B39" i="1"/>
  <c r="B32" i="1"/>
  <c r="B31" i="1"/>
  <c r="B29" i="1"/>
  <c r="B28" i="1"/>
  <c r="B13" i="1"/>
  <c r="B12" i="1"/>
  <c r="J6" i="1"/>
  <c r="G135" i="28"/>
  <c r="G133" i="28"/>
  <c r="G132" i="28"/>
  <c r="G131" i="28"/>
  <c r="F9" i="27"/>
  <c r="H56" i="17"/>
  <c r="G56" i="17"/>
  <c r="J47" i="17"/>
  <c r="D6" i="17"/>
  <c r="D5" i="17" s="1"/>
  <c r="D6" i="19"/>
  <c r="D5" i="19" s="1"/>
  <c r="D6" i="2"/>
  <c r="D6" i="11"/>
  <c r="D5" i="11" s="1"/>
  <c r="D6" i="27"/>
  <c r="D5" i="27" s="1"/>
  <c r="F6" i="10"/>
  <c r="F5" i="10" s="1"/>
  <c r="B21" i="1"/>
  <c r="F21" i="4"/>
  <c r="G21" i="4"/>
  <c r="H21" i="4"/>
  <c r="I21" i="4"/>
  <c r="F34" i="28" l="1"/>
  <c r="D165" i="2" s="1"/>
  <c r="D166" i="2" s="1"/>
  <c r="G34" i="28"/>
  <c r="H34" i="28"/>
  <c r="I34" i="28"/>
  <c r="J34" i="28"/>
  <c r="K34" i="28"/>
  <c r="L34" i="28"/>
  <c r="F30" i="10"/>
  <c r="E134" i="28"/>
  <c r="F134" i="28" s="1"/>
  <c r="C15" i="4"/>
  <c r="E58" i="4"/>
  <c r="B15" i="4"/>
  <c r="C13" i="4"/>
  <c r="F36" i="28"/>
  <c r="F35" i="28"/>
  <c r="E35" i="28"/>
  <c r="E36" i="28"/>
  <c r="H87" i="28"/>
  <c r="H89" i="28"/>
  <c r="D12" i="5"/>
  <c r="E6" i="27"/>
  <c r="F6" i="27" s="1"/>
  <c r="F5" i="27" s="1"/>
  <c r="J22" i="5"/>
  <c r="J71" i="5"/>
  <c r="E131" i="28"/>
  <c r="F131" i="28" s="1"/>
  <c r="J44" i="5"/>
  <c r="L20" i="28"/>
  <c r="F24" i="10"/>
  <c r="B45" i="2"/>
  <c r="B11" i="2"/>
  <c r="E6" i="19"/>
  <c r="E5" i="19" s="1"/>
  <c r="D51" i="19"/>
  <c r="D5" i="1"/>
  <c r="D5" i="2"/>
  <c r="E78" i="4"/>
  <c r="E79" i="4" s="1"/>
  <c r="E203" i="28"/>
  <c r="J62" i="28"/>
  <c r="J81" i="28" s="1"/>
  <c r="I87" i="28"/>
  <c r="Q62" i="28"/>
  <c r="Q76" i="28" s="1"/>
  <c r="P87" i="28"/>
  <c r="C163" i="2"/>
  <c r="H78" i="4"/>
  <c r="H79" i="4" s="1"/>
  <c r="I81" i="4"/>
  <c r="I93" i="4" s="1"/>
  <c r="I78" i="4"/>
  <c r="I79" i="4" s="1"/>
  <c r="G81" i="4"/>
  <c r="G93" i="4" s="1"/>
  <c r="G78" i="4"/>
  <c r="G79" i="4" s="1"/>
  <c r="F78" i="4"/>
  <c r="F79" i="4" s="1"/>
  <c r="E6" i="5"/>
  <c r="E12" i="5" s="1"/>
  <c r="E67" i="1" s="1"/>
  <c r="D5" i="5"/>
  <c r="D90" i="2"/>
  <c r="D91" i="2"/>
  <c r="G90" i="2"/>
  <c r="G91" i="2"/>
  <c r="E91" i="2"/>
  <c r="E90" i="2"/>
  <c r="H91" i="2"/>
  <c r="H90" i="2"/>
  <c r="F90" i="2"/>
  <c r="F91" i="2"/>
  <c r="F6" i="4"/>
  <c r="F66" i="4" s="1"/>
  <c r="H162" i="2"/>
  <c r="H196" i="2" s="1"/>
  <c r="F82" i="2"/>
  <c r="D56" i="17"/>
  <c r="E56" i="17"/>
  <c r="G45" i="11"/>
  <c r="G64" i="11" s="1"/>
  <c r="H45" i="11"/>
  <c r="H64" i="11" s="1"/>
  <c r="B20" i="1"/>
  <c r="H83" i="2"/>
  <c r="G83" i="2"/>
  <c r="E83" i="2"/>
  <c r="J78" i="2"/>
  <c r="D162" i="2"/>
  <c r="D196" i="2" s="1"/>
  <c r="F83" i="2"/>
  <c r="F6" i="29"/>
  <c r="F5" i="29" s="1"/>
  <c r="D82" i="2"/>
  <c r="G6" i="10"/>
  <c r="G5" i="10" s="1"/>
  <c r="E6" i="17"/>
  <c r="E5" i="17" s="1"/>
  <c r="E6" i="2"/>
  <c r="E165" i="2" s="1"/>
  <c r="E166" i="2" s="1"/>
  <c r="E6" i="11"/>
  <c r="E51" i="19"/>
  <c r="F32" i="28"/>
  <c r="E66" i="4"/>
  <c r="E5" i="4"/>
  <c r="G52" i="19"/>
  <c r="G33" i="28"/>
  <c r="G36" i="28" s="1"/>
  <c r="E109" i="2"/>
  <c r="E108" i="2" s="1"/>
  <c r="H45" i="29"/>
  <c r="G82" i="2"/>
  <c r="D69" i="27"/>
  <c r="F69" i="27"/>
  <c r="F45" i="29"/>
  <c r="E6" i="1"/>
  <c r="F6" i="1" s="1"/>
  <c r="F5" i="1" s="1"/>
  <c r="G54" i="28"/>
  <c r="H54" i="28" s="1"/>
  <c r="O79" i="28"/>
  <c r="P91" i="28"/>
  <c r="O85" i="28"/>
  <c r="P77" i="28"/>
  <c r="O77" i="28"/>
  <c r="O89" i="28"/>
  <c r="O88" i="28"/>
  <c r="O82" i="28"/>
  <c r="O86" i="28"/>
  <c r="P78" i="28"/>
  <c r="P84" i="28"/>
  <c r="P90" i="28"/>
  <c r="O81" i="28"/>
  <c r="O91" i="28"/>
  <c r="P88" i="28"/>
  <c r="O84" i="28"/>
  <c r="O83" i="28"/>
  <c r="P89" i="28"/>
  <c r="P85" i="28"/>
  <c r="O80" i="28"/>
  <c r="O78" i="28"/>
  <c r="P83" i="28"/>
  <c r="P86" i="28"/>
  <c r="P82" i="28"/>
  <c r="P81" i="28"/>
  <c r="P80" i="28"/>
  <c r="O90" i="28"/>
  <c r="P79" i="28"/>
  <c r="H77" i="28"/>
  <c r="H86" i="28"/>
  <c r="H78" i="28"/>
  <c r="I88" i="28"/>
  <c r="I79" i="28"/>
  <c r="H85" i="28"/>
  <c r="I86" i="28"/>
  <c r="I78" i="28"/>
  <c r="G41" i="28"/>
  <c r="H41" i="28" s="1"/>
  <c r="I41" i="28" s="1"/>
  <c r="H84" i="28"/>
  <c r="I85" i="28"/>
  <c r="H83" i="28"/>
  <c r="I84" i="28"/>
  <c r="H81" i="28"/>
  <c r="H91" i="28"/>
  <c r="H82" i="28"/>
  <c r="I77" i="28"/>
  <c r="I83" i="28"/>
  <c r="H90" i="28"/>
  <c r="I91" i="28"/>
  <c r="H80" i="28"/>
  <c r="I90" i="28"/>
  <c r="I81" i="28"/>
  <c r="H88" i="28"/>
  <c r="H79" i="28"/>
  <c r="I89" i="28"/>
  <c r="I80" i="28"/>
  <c r="I82" i="28"/>
  <c r="H63" i="17"/>
  <c r="H58" i="4"/>
  <c r="H60" i="4" s="1"/>
  <c r="F58" i="4"/>
  <c r="F60" i="4" s="1"/>
  <c r="I58" i="4"/>
  <c r="I60" i="4" s="1"/>
  <c r="G58" i="4"/>
  <c r="G60" i="4" s="1"/>
  <c r="E60" i="4"/>
  <c r="B48" i="1"/>
  <c r="H82" i="2"/>
  <c r="E136" i="28"/>
  <c r="F136" i="28" s="1"/>
  <c r="E82" i="2"/>
  <c r="D83" i="2"/>
  <c r="D63" i="17"/>
  <c r="G63" i="17"/>
  <c r="J36" i="10"/>
  <c r="I36" i="10"/>
  <c r="E135" i="28"/>
  <c r="F135" i="28" s="1"/>
  <c r="E202" i="28"/>
  <c r="E199" i="28"/>
  <c r="E63" i="17"/>
  <c r="G36" i="10"/>
  <c r="E196" i="28"/>
  <c r="B128" i="28"/>
  <c r="E195" i="28"/>
  <c r="E201" i="28"/>
  <c r="E138" i="28"/>
  <c r="F138" i="28" s="1"/>
  <c r="E137" i="28"/>
  <c r="F137" i="28" s="1"/>
  <c r="E198" i="28"/>
  <c r="E200" i="28"/>
  <c r="E132" i="28"/>
  <c r="F132" i="28" s="1"/>
  <c r="E133" i="28"/>
  <c r="F133" i="28" s="1"/>
  <c r="E197" i="28"/>
  <c r="G45" i="29"/>
  <c r="D76" i="27"/>
  <c r="F36" i="10"/>
  <c r="G69" i="27"/>
  <c r="E69" i="27"/>
  <c r="G76" i="27"/>
  <c r="E76" i="27"/>
  <c r="F76" i="27"/>
  <c r="H69" i="27"/>
  <c r="I45" i="29"/>
  <c r="H76" i="27"/>
  <c r="E45" i="29"/>
  <c r="F63" i="17"/>
  <c r="B135" i="28" l="1"/>
  <c r="B136" i="28"/>
  <c r="B137" i="28"/>
  <c r="B19" i="5" s="1"/>
  <c r="B73" i="1" s="1"/>
  <c r="B134" i="28"/>
  <c r="B16" i="5" s="1"/>
  <c r="B70" i="1" s="1"/>
  <c r="B138" i="28"/>
  <c r="B20" i="5" s="1"/>
  <c r="B139" i="28"/>
  <c r="B21" i="5" s="1"/>
  <c r="B132" i="28"/>
  <c r="B14" i="5" s="1"/>
  <c r="B68" i="1" s="1"/>
  <c r="B133" i="28"/>
  <c r="B15" i="5" s="1"/>
  <c r="B69" i="1" s="1"/>
  <c r="E5" i="27"/>
  <c r="G6" i="27"/>
  <c r="G5" i="27" s="1"/>
  <c r="G35" i="28"/>
  <c r="F6" i="19"/>
  <c r="F5" i="19" s="1"/>
  <c r="D67" i="1"/>
  <c r="C19" i="5"/>
  <c r="C20" i="5"/>
  <c r="F6" i="5"/>
  <c r="I15" i="5" s="1"/>
  <c r="J77" i="28"/>
  <c r="E26" i="10"/>
  <c r="C38" i="2"/>
  <c r="C67" i="2"/>
  <c r="C66" i="2"/>
  <c r="C24" i="2"/>
  <c r="C25" i="2"/>
  <c r="C26" i="2"/>
  <c r="C27" i="2"/>
  <c r="C28" i="2"/>
  <c r="C37" i="2"/>
  <c r="P331" i="28"/>
  <c r="P339" i="28"/>
  <c r="P321" i="28"/>
  <c r="P334" i="28"/>
  <c r="P342" i="28"/>
  <c r="P318" i="28"/>
  <c r="P326" i="28"/>
  <c r="P337" i="28"/>
  <c r="P323" i="28"/>
  <c r="P332" i="28"/>
  <c r="P340" i="28"/>
  <c r="P320" i="28"/>
  <c r="P328" i="28"/>
  <c r="P335" i="28"/>
  <c r="P343" i="28"/>
  <c r="P317" i="28"/>
  <c r="P325" i="28"/>
  <c r="P322" i="28"/>
  <c r="P341" i="28"/>
  <c r="P327" i="28"/>
  <c r="P336" i="28"/>
  <c r="P316" i="28"/>
  <c r="P315" i="28"/>
  <c r="P329" i="28"/>
  <c r="P338" i="28"/>
  <c r="P333" i="28"/>
  <c r="P319" i="28"/>
  <c r="P324" i="28"/>
  <c r="P330" i="28"/>
  <c r="O334" i="28"/>
  <c r="O342" i="28"/>
  <c r="O318" i="28"/>
  <c r="O326" i="28"/>
  <c r="O337" i="28"/>
  <c r="O323" i="28"/>
  <c r="O332" i="28"/>
  <c r="O340" i="28"/>
  <c r="O329" i="28"/>
  <c r="O320" i="28"/>
  <c r="O328" i="28"/>
  <c r="O335" i="28"/>
  <c r="O343" i="28"/>
  <c r="O317" i="28"/>
  <c r="O325" i="28"/>
  <c r="O315" i="28"/>
  <c r="O322" i="28"/>
  <c r="O333" i="28"/>
  <c r="O341" i="28"/>
  <c r="O319" i="28"/>
  <c r="O336" i="28"/>
  <c r="O324" i="28"/>
  <c r="O339" i="28"/>
  <c r="O338" i="28"/>
  <c r="O327" i="28"/>
  <c r="O316" i="28"/>
  <c r="O321" i="28"/>
  <c r="O330" i="28"/>
  <c r="O331" i="28"/>
  <c r="R319" i="28"/>
  <c r="R327" i="28"/>
  <c r="R316" i="28"/>
  <c r="R324" i="28"/>
  <c r="R315" i="28"/>
  <c r="R321" i="28"/>
  <c r="R318" i="28"/>
  <c r="R326" i="28"/>
  <c r="R328" i="28"/>
  <c r="R317" i="28"/>
  <c r="R322" i="28"/>
  <c r="R323" i="28"/>
  <c r="R320" i="28"/>
  <c r="R325" i="28"/>
  <c r="N334" i="28"/>
  <c r="N342" i="28"/>
  <c r="N335" i="28"/>
  <c r="N343" i="28"/>
  <c r="N336" i="28"/>
  <c r="N329" i="28"/>
  <c r="N337" i="28"/>
  <c r="N338" i="28"/>
  <c r="N339" i="28"/>
  <c r="N332" i="28"/>
  <c r="N341" i="28"/>
  <c r="N330" i="28"/>
  <c r="N331" i="28"/>
  <c r="N340" i="28"/>
  <c r="N333" i="28"/>
  <c r="M335" i="28"/>
  <c r="M343" i="28"/>
  <c r="M336" i="28"/>
  <c r="M329" i="28"/>
  <c r="M337" i="28"/>
  <c r="M330" i="28"/>
  <c r="M338" i="28"/>
  <c r="M339" i="28"/>
  <c r="M340" i="28"/>
  <c r="M333" i="28"/>
  <c r="M342" i="28"/>
  <c r="M331" i="28"/>
  <c r="M332" i="28"/>
  <c r="M341" i="28"/>
  <c r="M334" i="28"/>
  <c r="Q336" i="28"/>
  <c r="Q316" i="28"/>
  <c r="Q324" i="28"/>
  <c r="Q315" i="28"/>
  <c r="Q331" i="28"/>
  <c r="Q339" i="28"/>
  <c r="Q321" i="28"/>
  <c r="Q334" i="28"/>
  <c r="Q342" i="28"/>
  <c r="Q318" i="28"/>
  <c r="Q326" i="28"/>
  <c r="Q337" i="28"/>
  <c r="Q323" i="28"/>
  <c r="Q332" i="28"/>
  <c r="Q340" i="28"/>
  <c r="Q320" i="28"/>
  <c r="Q328" i="28"/>
  <c r="Q325" i="28"/>
  <c r="Q319" i="28"/>
  <c r="Q335" i="28"/>
  <c r="Q343" i="28"/>
  <c r="Q317" i="28"/>
  <c r="Q338" i="28"/>
  <c r="Q322" i="28"/>
  <c r="Q333" i="28"/>
  <c r="Q341" i="28"/>
  <c r="Q327" i="28"/>
  <c r="Q329" i="28"/>
  <c r="Q330" i="28"/>
  <c r="S322" i="28"/>
  <c r="S319" i="28"/>
  <c r="S327" i="28"/>
  <c r="S316" i="28"/>
  <c r="S324" i="28"/>
  <c r="S315" i="28"/>
  <c r="S321" i="28"/>
  <c r="S318" i="28"/>
  <c r="S320" i="28"/>
  <c r="S325" i="28"/>
  <c r="S326" i="28"/>
  <c r="S323" i="28"/>
  <c r="S328" i="28"/>
  <c r="S317" i="28"/>
  <c r="F27" i="10"/>
  <c r="M20" i="28"/>
  <c r="N20" i="28" s="1"/>
  <c r="G15" i="10"/>
  <c r="G17" i="10" s="1"/>
  <c r="G24" i="10" s="1"/>
  <c r="M371" i="28"/>
  <c r="M372" i="28"/>
  <c r="M373" i="28"/>
  <c r="M366" i="28"/>
  <c r="M375" i="28"/>
  <c r="M368" i="28"/>
  <c r="M376" i="28"/>
  <c r="M369" i="28"/>
  <c r="M377" i="28"/>
  <c r="M365" i="28"/>
  <c r="M367" i="28"/>
  <c r="M370" i="28"/>
  <c r="M378" i="28"/>
  <c r="M364" i="28"/>
  <c r="M374" i="28"/>
  <c r="Q355" i="28"/>
  <c r="Q371" i="28"/>
  <c r="Q354" i="28"/>
  <c r="Q358" i="28"/>
  <c r="Q362" i="28"/>
  <c r="Q366" i="28"/>
  <c r="Q370" i="28"/>
  <c r="Q378" i="28"/>
  <c r="Q363" i="28"/>
  <c r="Q375" i="28"/>
  <c r="Q352" i="28"/>
  <c r="Q356" i="28"/>
  <c r="Q360" i="28"/>
  <c r="Q364" i="28"/>
  <c r="Q368" i="28"/>
  <c r="Q372" i="28"/>
  <c r="Q376" i="28"/>
  <c r="Q367" i="28"/>
  <c r="Q351" i="28"/>
  <c r="Q359" i="28"/>
  <c r="Q350" i="28"/>
  <c r="Q353" i="28"/>
  <c r="Q357" i="28"/>
  <c r="Q361" i="28"/>
  <c r="Q365" i="28"/>
  <c r="Q369" i="28"/>
  <c r="Q373" i="28"/>
  <c r="Q377" i="28"/>
  <c r="Q374" i="28"/>
  <c r="P360" i="28"/>
  <c r="P351" i="28"/>
  <c r="P355" i="28"/>
  <c r="P359" i="28"/>
  <c r="P363" i="28"/>
  <c r="P367" i="28"/>
  <c r="P371" i="28"/>
  <c r="P350" i="28"/>
  <c r="P364" i="28"/>
  <c r="P372" i="28"/>
  <c r="P356" i="28"/>
  <c r="P353" i="28"/>
  <c r="P357" i="28"/>
  <c r="P361" i="28"/>
  <c r="P365" i="28"/>
  <c r="P369" i="28"/>
  <c r="P373" i="28"/>
  <c r="P377" i="28"/>
  <c r="P375" i="28"/>
  <c r="P376" i="28"/>
  <c r="P354" i="28"/>
  <c r="P358" i="28"/>
  <c r="P362" i="28"/>
  <c r="P366" i="28"/>
  <c r="P370" i="28"/>
  <c r="P378" i="28"/>
  <c r="P352" i="28"/>
  <c r="P368" i="28"/>
  <c r="P374" i="28"/>
  <c r="S351" i="28"/>
  <c r="S355" i="28"/>
  <c r="S359" i="28"/>
  <c r="S363" i="28"/>
  <c r="S360" i="28"/>
  <c r="S352" i="28"/>
  <c r="S353" i="28"/>
  <c r="S357" i="28"/>
  <c r="S361" i="28"/>
  <c r="S350" i="28"/>
  <c r="S356" i="28"/>
  <c r="S354" i="28"/>
  <c r="S358" i="28"/>
  <c r="S362" i="28"/>
  <c r="O356" i="28"/>
  <c r="O357" i="28"/>
  <c r="O354" i="28"/>
  <c r="O362" i="28"/>
  <c r="O370" i="28"/>
  <c r="O378" i="28"/>
  <c r="O363" i="28"/>
  <c r="O350" i="28"/>
  <c r="O364" i="28"/>
  <c r="O365" i="28"/>
  <c r="O358" i="28"/>
  <c r="O366" i="28"/>
  <c r="O372" i="28"/>
  <c r="O351" i="28"/>
  <c r="O359" i="28"/>
  <c r="O367" i="28"/>
  <c r="O375" i="28"/>
  <c r="O377" i="28"/>
  <c r="O352" i="28"/>
  <c r="O360" i="28"/>
  <c r="O368" i="28"/>
  <c r="O376" i="28"/>
  <c r="O353" i="28"/>
  <c r="O361" i="28"/>
  <c r="O369" i="28"/>
  <c r="O355" i="28"/>
  <c r="O371" i="28"/>
  <c r="O373" i="28"/>
  <c r="O374" i="28"/>
  <c r="N373" i="28"/>
  <c r="N371" i="28"/>
  <c r="N364" i="28"/>
  <c r="N367" i="28"/>
  <c r="N375" i="28"/>
  <c r="N366" i="28"/>
  <c r="N368" i="28"/>
  <c r="N376" i="28"/>
  <c r="N378" i="28"/>
  <c r="N365" i="28"/>
  <c r="N369" i="28"/>
  <c r="N377" i="28"/>
  <c r="N370" i="28"/>
  <c r="N372" i="28"/>
  <c r="N374" i="28"/>
  <c r="R351" i="28"/>
  <c r="R356" i="28"/>
  <c r="R360" i="28"/>
  <c r="R352" i="28"/>
  <c r="R361" i="28"/>
  <c r="R353" i="28"/>
  <c r="R350" i="28"/>
  <c r="R354" i="28"/>
  <c r="R358" i="28"/>
  <c r="R362" i="28"/>
  <c r="R357" i="28"/>
  <c r="R355" i="28"/>
  <c r="R359" i="28"/>
  <c r="R363" i="28"/>
  <c r="Q90" i="28"/>
  <c r="Q72" i="28"/>
  <c r="Q70" i="28"/>
  <c r="Q68" i="28"/>
  <c r="Q88" i="28"/>
  <c r="Q82" i="28"/>
  <c r="Q80" i="28"/>
  <c r="H6" i="10"/>
  <c r="H5" i="10" s="1"/>
  <c r="G27" i="10"/>
  <c r="J73" i="1"/>
  <c r="Q78" i="28"/>
  <c r="Q75" i="28"/>
  <c r="Q64" i="28"/>
  <c r="Q81" i="28"/>
  <c r="Q67" i="28"/>
  <c r="Q77" i="28"/>
  <c r="Q79" i="28"/>
  <c r="Q73" i="28"/>
  <c r="Q83" i="28"/>
  <c r="Q66" i="28"/>
  <c r="Q74" i="28"/>
  <c r="Q63" i="28"/>
  <c r="Q71" i="28"/>
  <c r="Q65" i="28"/>
  <c r="Q86" i="28"/>
  <c r="Q91" i="28"/>
  <c r="Q69" i="28"/>
  <c r="Q85" i="28"/>
  <c r="Q84" i="28"/>
  <c r="Q89" i="28"/>
  <c r="J69" i="28"/>
  <c r="J63" i="28"/>
  <c r="J85" i="28"/>
  <c r="E82" i="4"/>
  <c r="E94" i="4" s="1"/>
  <c r="C35" i="2"/>
  <c r="J79" i="28"/>
  <c r="J82" i="28"/>
  <c r="J74" i="28"/>
  <c r="J90" i="28"/>
  <c r="J84" i="28"/>
  <c r="J86" i="28"/>
  <c r="J89" i="28"/>
  <c r="H82" i="4"/>
  <c r="F82" i="4"/>
  <c r="G82" i="4"/>
  <c r="I82" i="4"/>
  <c r="B198" i="28"/>
  <c r="B199" i="28"/>
  <c r="B200" i="28"/>
  <c r="B201" i="28"/>
  <c r="B202" i="28"/>
  <c r="B196" i="28"/>
  <c r="B197" i="28"/>
  <c r="B203" i="28"/>
  <c r="B70" i="5" s="1"/>
  <c r="J83" i="28"/>
  <c r="J68" i="28"/>
  <c r="J91" i="28"/>
  <c r="J70" i="28"/>
  <c r="J72" i="28"/>
  <c r="J65" i="28"/>
  <c r="J80" i="28"/>
  <c r="C83" i="1"/>
  <c r="C102" i="2"/>
  <c r="C81" i="1"/>
  <c r="J88" i="28"/>
  <c r="J67" i="28"/>
  <c r="J76" i="28"/>
  <c r="J64" i="28"/>
  <c r="J78" i="28"/>
  <c r="J66" i="28"/>
  <c r="J75" i="28"/>
  <c r="J73" i="28"/>
  <c r="J71" i="28"/>
  <c r="C72" i="27"/>
  <c r="D67" i="29"/>
  <c r="D69" i="29"/>
  <c r="C23" i="19"/>
  <c r="C71" i="17"/>
  <c r="C94" i="2"/>
  <c r="C66" i="5"/>
  <c r="C12" i="5"/>
  <c r="C15" i="2"/>
  <c r="E20" i="10"/>
  <c r="C103" i="2"/>
  <c r="C44" i="17"/>
  <c r="C19" i="2"/>
  <c r="C22" i="5"/>
  <c r="C82" i="2"/>
  <c r="C87" i="17"/>
  <c r="C14" i="5"/>
  <c r="C96" i="2"/>
  <c r="C87" i="1"/>
  <c r="C83" i="17"/>
  <c r="E43" i="10"/>
  <c r="C48" i="2"/>
  <c r="C16" i="5"/>
  <c r="C71" i="5"/>
  <c r="C72" i="2"/>
  <c r="C73" i="27"/>
  <c r="D64" i="29"/>
  <c r="E12" i="10"/>
  <c r="D70" i="29"/>
  <c r="C68" i="5"/>
  <c r="C80" i="1"/>
  <c r="C70" i="17"/>
  <c r="C82" i="1"/>
  <c r="C14" i="2"/>
  <c r="C85" i="1"/>
  <c r="E19" i="10"/>
  <c r="C43" i="2"/>
  <c r="E40" i="10"/>
  <c r="E41" i="10"/>
  <c r="D62" i="29"/>
  <c r="E39" i="10"/>
  <c r="E44" i="10"/>
  <c r="C56" i="5"/>
  <c r="C70" i="1"/>
  <c r="D40" i="29"/>
  <c r="C79" i="1"/>
  <c r="C75" i="1"/>
  <c r="C54" i="2"/>
  <c r="C78" i="2"/>
  <c r="C66" i="1"/>
  <c r="C21" i="19"/>
  <c r="E21" i="10"/>
  <c r="C84" i="1"/>
  <c r="C88" i="2"/>
  <c r="C49" i="2"/>
  <c r="C69" i="5"/>
  <c r="E45" i="10"/>
  <c r="C76" i="2"/>
  <c r="E18" i="10"/>
  <c r="C77" i="2"/>
  <c r="C74" i="27"/>
  <c r="C91" i="1"/>
  <c r="C20" i="2"/>
  <c r="C18" i="19"/>
  <c r="E23" i="10"/>
  <c r="C85" i="17"/>
  <c r="C57" i="2"/>
  <c r="C15" i="5"/>
  <c r="C70" i="5"/>
  <c r="C77" i="1"/>
  <c r="C69" i="1"/>
  <c r="C90" i="1"/>
  <c r="C59" i="2"/>
  <c r="C17" i="5"/>
  <c r="C77" i="17"/>
  <c r="C74" i="1"/>
  <c r="C57" i="17"/>
  <c r="C45" i="5"/>
  <c r="D60" i="29"/>
  <c r="C67" i="1"/>
  <c r="E22" i="10"/>
  <c r="C88" i="1"/>
  <c r="E24" i="10"/>
  <c r="C68" i="1"/>
  <c r="C83" i="2"/>
  <c r="C53" i="2"/>
  <c r="C47" i="2"/>
  <c r="C87" i="2"/>
  <c r="B63" i="1"/>
  <c r="C73" i="1"/>
  <c r="C65" i="1"/>
  <c r="C18" i="5"/>
  <c r="E17" i="10"/>
  <c r="E15" i="10"/>
  <c r="D56" i="29"/>
  <c r="C86" i="1"/>
  <c r="D52" i="29"/>
  <c r="C72" i="1"/>
  <c r="E16" i="10"/>
  <c r="C101" i="2"/>
  <c r="C67" i="5"/>
  <c r="C13" i="2"/>
  <c r="C78" i="1"/>
  <c r="C22" i="19"/>
  <c r="C71" i="1"/>
  <c r="C54" i="19"/>
  <c r="R62" i="28"/>
  <c r="Q87" i="28"/>
  <c r="K62" i="28"/>
  <c r="K85" i="28" s="1"/>
  <c r="J87" i="28"/>
  <c r="C58" i="2"/>
  <c r="C57" i="5"/>
  <c r="C42" i="2"/>
  <c r="C41" i="5"/>
  <c r="C70" i="2"/>
  <c r="C49" i="5"/>
  <c r="C30" i="2"/>
  <c r="C21" i="5"/>
  <c r="C42" i="5"/>
  <c r="C23" i="2"/>
  <c r="C86" i="2"/>
  <c r="C52" i="5"/>
  <c r="C71" i="2"/>
  <c r="C29" i="2"/>
  <c r="C43" i="5"/>
  <c r="C95" i="2"/>
  <c r="C41" i="2"/>
  <c r="C76" i="1"/>
  <c r="C58" i="5"/>
  <c r="C44" i="5"/>
  <c r="C63" i="2"/>
  <c r="C33" i="2"/>
  <c r="C34" i="2"/>
  <c r="C55" i="5"/>
  <c r="C50" i="5"/>
  <c r="C59" i="5"/>
  <c r="C64" i="2"/>
  <c r="C62" i="2"/>
  <c r="C48" i="5"/>
  <c r="C51" i="5"/>
  <c r="H95" i="2"/>
  <c r="H81" i="4"/>
  <c r="H93" i="4" s="1"/>
  <c r="F81" i="4"/>
  <c r="F93" i="4" s="1"/>
  <c r="J56" i="17"/>
  <c r="E95" i="2"/>
  <c r="F5" i="4"/>
  <c r="G6" i="4"/>
  <c r="F95" i="2"/>
  <c r="G95" i="2"/>
  <c r="E76" i="1"/>
  <c r="D76" i="1"/>
  <c r="G6" i="1"/>
  <c r="G5" i="1" s="1"/>
  <c r="E5" i="1"/>
  <c r="E5" i="5"/>
  <c r="E74" i="1"/>
  <c r="D95" i="2"/>
  <c r="D94" i="2"/>
  <c r="E94" i="2"/>
  <c r="F94" i="2"/>
  <c r="G94" i="2"/>
  <c r="H94" i="2"/>
  <c r="J91" i="2"/>
  <c r="J90" i="2"/>
  <c r="G162" i="2"/>
  <c r="G196" i="2" s="1"/>
  <c r="F162" i="2"/>
  <c r="F196" i="2" s="1"/>
  <c r="E162" i="2"/>
  <c r="E196" i="2" s="1"/>
  <c r="E198" i="2" s="1"/>
  <c r="G6" i="29"/>
  <c r="G5" i="29" s="1"/>
  <c r="E5" i="2"/>
  <c r="F6" i="2"/>
  <c r="F6" i="17"/>
  <c r="E5" i="11"/>
  <c r="F6" i="11"/>
  <c r="F109" i="2"/>
  <c r="G32" i="28"/>
  <c r="H33" i="28"/>
  <c r="H52" i="19"/>
  <c r="H51" i="19" s="1"/>
  <c r="G51" i="19"/>
  <c r="J82" i="2"/>
  <c r="I54" i="28"/>
  <c r="B18" i="5"/>
  <c r="B72" i="1" s="1"/>
  <c r="B17" i="5"/>
  <c r="B71" i="1" s="1"/>
  <c r="J83" i="2"/>
  <c r="H15" i="4"/>
  <c r="D75" i="1"/>
  <c r="D74" i="1"/>
  <c r="E15" i="4"/>
  <c r="E19" i="4" s="1"/>
  <c r="E21" i="4" s="1"/>
  <c r="G15" i="4"/>
  <c r="F15" i="4"/>
  <c r="I15" i="4"/>
  <c r="H6" i="27" l="1"/>
  <c r="H5" i="27" s="1"/>
  <c r="I62" i="2"/>
  <c r="F165" i="2"/>
  <c r="F166" i="2" s="1"/>
  <c r="G6" i="19"/>
  <c r="G5" i="19" s="1"/>
  <c r="H36" i="28"/>
  <c r="F32" i="10" s="1"/>
  <c r="I68" i="5"/>
  <c r="I69" i="5"/>
  <c r="I42" i="5"/>
  <c r="F12" i="5"/>
  <c r="I12" i="5" s="1"/>
  <c r="I59" i="5"/>
  <c r="I18" i="5"/>
  <c r="C6" i="28"/>
  <c r="I16" i="5"/>
  <c r="I57" i="5"/>
  <c r="I56" i="5"/>
  <c r="F5" i="5"/>
  <c r="I58" i="5"/>
  <c r="I71" i="5"/>
  <c r="G6" i="5"/>
  <c r="I44" i="5"/>
  <c r="I66" i="5"/>
  <c r="I67" i="5"/>
  <c r="I21" i="5"/>
  <c r="I45" i="5"/>
  <c r="I43" i="5"/>
  <c r="I17" i="5"/>
  <c r="I35" i="2"/>
  <c r="I26" i="2"/>
  <c r="I34" i="2"/>
  <c r="I86" i="2"/>
  <c r="I27" i="2"/>
  <c r="I88" i="2"/>
  <c r="I24" i="2"/>
  <c r="I87" i="2"/>
  <c r="I63" i="2"/>
  <c r="I64" i="2"/>
  <c r="I28" i="2"/>
  <c r="I25" i="2"/>
  <c r="I14" i="5"/>
  <c r="I19" i="5"/>
  <c r="I90" i="2"/>
  <c r="I29" i="2"/>
  <c r="I33" i="2"/>
  <c r="I55" i="5"/>
  <c r="I20" i="5"/>
  <c r="I70" i="5"/>
  <c r="I41" i="5"/>
  <c r="I58" i="2"/>
  <c r="I22" i="5"/>
  <c r="F34" i="10"/>
  <c r="F35" i="10"/>
  <c r="H6" i="1"/>
  <c r="H5" i="1" s="1"/>
  <c r="I95" i="2"/>
  <c r="H15" i="10"/>
  <c r="H17" i="10" s="1"/>
  <c r="H24" i="10" s="1"/>
  <c r="H27" i="10" s="1"/>
  <c r="I6" i="10"/>
  <c r="I5" i="10" s="1"/>
  <c r="J75" i="1"/>
  <c r="K75" i="1"/>
  <c r="I94" i="2"/>
  <c r="G5" i="4"/>
  <c r="K64" i="28"/>
  <c r="H6" i="4"/>
  <c r="H5" i="4" s="1"/>
  <c r="G66" i="4"/>
  <c r="K73" i="28"/>
  <c r="K67" i="28"/>
  <c r="K90" i="28"/>
  <c r="K70" i="28"/>
  <c r="K66" i="28"/>
  <c r="K88" i="28"/>
  <c r="K63" i="28"/>
  <c r="K80" i="28"/>
  <c r="K71" i="28"/>
  <c r="K65" i="28"/>
  <c r="K75" i="28"/>
  <c r="K84" i="28"/>
  <c r="K82" i="28"/>
  <c r="K74" i="28"/>
  <c r="K78" i="28"/>
  <c r="K91" i="28"/>
  <c r="K69" i="28"/>
  <c r="K79" i="28"/>
  <c r="K81" i="28"/>
  <c r="K72" i="28"/>
  <c r="K83" i="28"/>
  <c r="K68" i="28"/>
  <c r="K89" i="28"/>
  <c r="K76" i="28"/>
  <c r="L62" i="28"/>
  <c r="K87" i="28"/>
  <c r="K86" i="28"/>
  <c r="K77" i="28"/>
  <c r="S62" i="28"/>
  <c r="R87" i="28"/>
  <c r="R69" i="28"/>
  <c r="R89" i="28"/>
  <c r="R67" i="28"/>
  <c r="R81" i="28"/>
  <c r="R80" i="28"/>
  <c r="R82" i="28"/>
  <c r="R64" i="28"/>
  <c r="R79" i="28"/>
  <c r="R68" i="28"/>
  <c r="R71" i="28"/>
  <c r="R77" i="28"/>
  <c r="R90" i="28"/>
  <c r="R66" i="28"/>
  <c r="R65" i="28"/>
  <c r="R70" i="28"/>
  <c r="R83" i="28"/>
  <c r="R86" i="28"/>
  <c r="R84" i="28"/>
  <c r="R91" i="28"/>
  <c r="R75" i="28"/>
  <c r="R74" i="28"/>
  <c r="R63" i="28"/>
  <c r="R88" i="28"/>
  <c r="R78" i="28"/>
  <c r="R76" i="28"/>
  <c r="R72" i="28"/>
  <c r="R85" i="28"/>
  <c r="R73" i="28"/>
  <c r="H96" i="2"/>
  <c r="E96" i="2"/>
  <c r="F96" i="2"/>
  <c r="G96" i="2"/>
  <c r="B67" i="5"/>
  <c r="B78" i="1" s="1"/>
  <c r="B66" i="5"/>
  <c r="B77" i="1" s="1"/>
  <c r="B81" i="1"/>
  <c r="B69" i="5"/>
  <c r="B80" i="1" s="1"/>
  <c r="B68" i="5"/>
  <c r="B79" i="1" s="1"/>
  <c r="J95" i="2"/>
  <c r="D96" i="2"/>
  <c r="F76" i="1"/>
  <c r="J76" i="1" s="1"/>
  <c r="B19" i="1"/>
  <c r="B46" i="1"/>
  <c r="F94" i="4"/>
  <c r="J94" i="2"/>
  <c r="H6" i="29"/>
  <c r="H5" i="29" s="1"/>
  <c r="F5" i="2"/>
  <c r="G6" i="2"/>
  <c r="G165" i="2" s="1"/>
  <c r="G166" i="2" s="1"/>
  <c r="F5" i="17"/>
  <c r="G6" i="17"/>
  <c r="J71" i="1"/>
  <c r="F5" i="11"/>
  <c r="G6" i="11"/>
  <c r="J72" i="1"/>
  <c r="G109" i="2"/>
  <c r="F108" i="2"/>
  <c r="F74" i="1"/>
  <c r="J74" i="1" s="1"/>
  <c r="H32" i="28"/>
  <c r="I33" i="28"/>
  <c r="B42" i="1"/>
  <c r="B16" i="1"/>
  <c r="H6" i="19" l="1"/>
  <c r="H5" i="19" s="1"/>
  <c r="D67" i="27"/>
  <c r="I15" i="10"/>
  <c r="I17" i="10" s="1"/>
  <c r="I24" i="10" s="1"/>
  <c r="I36" i="28"/>
  <c r="G32" i="10" s="1"/>
  <c r="I35" i="28"/>
  <c r="F38" i="29"/>
  <c r="F23" i="29" s="1"/>
  <c r="F33" i="29" s="1"/>
  <c r="E18" i="19"/>
  <c r="E42" i="17"/>
  <c r="E57" i="17" s="1"/>
  <c r="E54" i="19"/>
  <c r="E82" i="1" s="1"/>
  <c r="F37" i="10"/>
  <c r="F41" i="10" s="1"/>
  <c r="H6" i="5"/>
  <c r="H12" i="5" s="1"/>
  <c r="H67" i="1" s="1"/>
  <c r="G12" i="5"/>
  <c r="G67" i="1" s="1"/>
  <c r="F67" i="1"/>
  <c r="G5" i="5"/>
  <c r="G35" i="10"/>
  <c r="H66" i="4"/>
  <c r="I6" i="4"/>
  <c r="I5" i="4" s="1"/>
  <c r="G34" i="10"/>
  <c r="I27" i="10"/>
  <c r="J6" i="10"/>
  <c r="J5" i="10" s="1"/>
  <c r="I96" i="2"/>
  <c r="F198" i="2"/>
  <c r="T62" i="28"/>
  <c r="S87" i="28"/>
  <c r="S83" i="28"/>
  <c r="S79" i="28"/>
  <c r="S70" i="28"/>
  <c r="S75" i="28"/>
  <c r="S86" i="28"/>
  <c r="S77" i="28"/>
  <c r="S63" i="28"/>
  <c r="S88" i="28"/>
  <c r="S65" i="28"/>
  <c r="S91" i="28"/>
  <c r="S72" i="28"/>
  <c r="S80" i="28"/>
  <c r="S84" i="28"/>
  <c r="S85" i="28"/>
  <c r="S78" i="28"/>
  <c r="S69" i="28"/>
  <c r="S74" i="28"/>
  <c r="S67" i="28"/>
  <c r="S76" i="28"/>
  <c r="S90" i="28"/>
  <c r="S71" i="28"/>
  <c r="S66" i="28"/>
  <c r="S89" i="28"/>
  <c r="S82" i="28"/>
  <c r="S73" i="28"/>
  <c r="S81" i="28"/>
  <c r="S68" i="28"/>
  <c r="S64" i="28"/>
  <c r="M62" i="28"/>
  <c r="L87" i="28"/>
  <c r="L81" i="28"/>
  <c r="L67" i="28"/>
  <c r="L85" i="28"/>
  <c r="L69" i="28"/>
  <c r="L83" i="28"/>
  <c r="L65" i="28"/>
  <c r="L88" i="28"/>
  <c r="L66" i="28"/>
  <c r="L79" i="28"/>
  <c r="L80" i="28"/>
  <c r="L74" i="28"/>
  <c r="L71" i="28"/>
  <c r="L78" i="28"/>
  <c r="L91" i="28"/>
  <c r="L70" i="28"/>
  <c r="L84" i="28"/>
  <c r="L77" i="28"/>
  <c r="L86" i="28"/>
  <c r="L75" i="28"/>
  <c r="L64" i="28"/>
  <c r="L90" i="28"/>
  <c r="L73" i="28"/>
  <c r="L63" i="28"/>
  <c r="L68" i="28"/>
  <c r="L76" i="28"/>
  <c r="L89" i="28"/>
  <c r="L82" i="28"/>
  <c r="L72" i="28"/>
  <c r="B26" i="1"/>
  <c r="B53" i="1"/>
  <c r="B23" i="1"/>
  <c r="B50" i="1"/>
  <c r="B24" i="1"/>
  <c r="B51" i="1"/>
  <c r="B27" i="1"/>
  <c r="B54" i="1"/>
  <c r="B52" i="1"/>
  <c r="B25" i="1"/>
  <c r="J96" i="2"/>
  <c r="G76" i="1"/>
  <c r="G94" i="4"/>
  <c r="I6" i="29"/>
  <c r="I5" i="29" s="1"/>
  <c r="H6" i="17"/>
  <c r="G5" i="17"/>
  <c r="I54" i="17"/>
  <c r="G74" i="1"/>
  <c r="G5" i="2"/>
  <c r="H6" i="2"/>
  <c r="H6" i="11"/>
  <c r="H5" i="11" s="1"/>
  <c r="G5" i="11"/>
  <c r="I56" i="17"/>
  <c r="G108" i="2"/>
  <c r="H109" i="2"/>
  <c r="J33" i="28"/>
  <c r="I32" i="28"/>
  <c r="B43" i="1"/>
  <c r="B15" i="1"/>
  <c r="J69" i="1"/>
  <c r="J81" i="1"/>
  <c r="J78" i="1"/>
  <c r="B44" i="1"/>
  <c r="B17" i="1"/>
  <c r="B45" i="1"/>
  <c r="B18" i="1"/>
  <c r="B41" i="1"/>
  <c r="B14" i="1"/>
  <c r="J70" i="1"/>
  <c r="E67" i="27" l="1"/>
  <c r="J15" i="10"/>
  <c r="J17" i="10" s="1"/>
  <c r="J24" i="10" s="1"/>
  <c r="I77" i="2"/>
  <c r="H165" i="2"/>
  <c r="H166" i="2" s="1"/>
  <c r="H5" i="5"/>
  <c r="J27" i="10"/>
  <c r="J36" i="28"/>
  <c r="H32" i="10" s="1"/>
  <c r="J35" i="28"/>
  <c r="F54" i="19"/>
  <c r="F82" i="1" s="1"/>
  <c r="F18" i="19"/>
  <c r="F42" i="17"/>
  <c r="F57" i="17" s="1"/>
  <c r="G38" i="29"/>
  <c r="G23" i="29" s="1"/>
  <c r="I66" i="4"/>
  <c r="J12" i="5"/>
  <c r="G37" i="10"/>
  <c r="G41" i="10" s="1"/>
  <c r="G40" i="10" s="1"/>
  <c r="G44" i="10" s="1"/>
  <c r="E65" i="1" s="1"/>
  <c r="H34" i="10"/>
  <c r="H35" i="10"/>
  <c r="F40" i="10"/>
  <c r="F39" i="10"/>
  <c r="F43" i="10" s="1"/>
  <c r="D77" i="17" s="1"/>
  <c r="D74" i="27"/>
  <c r="G198" i="2"/>
  <c r="N62" i="28"/>
  <c r="M71" i="28"/>
  <c r="M72" i="28"/>
  <c r="M64" i="28"/>
  <c r="M76" i="28"/>
  <c r="M63" i="28"/>
  <c r="M70" i="28"/>
  <c r="M65" i="28"/>
  <c r="M75" i="28"/>
  <c r="M66" i="28"/>
  <c r="M69" i="28"/>
  <c r="M73" i="28"/>
  <c r="M68" i="28"/>
  <c r="M67" i="28"/>
  <c r="M74" i="28"/>
  <c r="U62" i="28"/>
  <c r="T63" i="28"/>
  <c r="T71" i="28"/>
  <c r="T74" i="28"/>
  <c r="T67" i="28"/>
  <c r="T66" i="28"/>
  <c r="T68" i="28"/>
  <c r="T76" i="28"/>
  <c r="T64" i="28"/>
  <c r="T70" i="28"/>
  <c r="T73" i="28"/>
  <c r="T69" i="28"/>
  <c r="T65" i="28"/>
  <c r="T72" i="28"/>
  <c r="T75" i="28"/>
  <c r="H76" i="1"/>
  <c r="K76" i="1" s="1"/>
  <c r="H94" i="4"/>
  <c r="K78" i="1"/>
  <c r="H5" i="2"/>
  <c r="I82" i="2"/>
  <c r="I76" i="2"/>
  <c r="H5" i="17"/>
  <c r="I50" i="17"/>
  <c r="I48" i="17"/>
  <c r="I49" i="17"/>
  <c r="I47" i="17"/>
  <c r="I51" i="17"/>
  <c r="I52" i="17"/>
  <c r="I53" i="17"/>
  <c r="I83" i="2"/>
  <c r="H108" i="2"/>
  <c r="J32" i="28"/>
  <c r="K33" i="28"/>
  <c r="H74" i="1"/>
  <c r="K74" i="1" s="1"/>
  <c r="J79" i="1"/>
  <c r="J80" i="1"/>
  <c r="F67" i="27" l="1"/>
  <c r="I78" i="2"/>
  <c r="K36" i="28"/>
  <c r="I32" i="10" s="1"/>
  <c r="K35" i="28"/>
  <c r="H38" i="29"/>
  <c r="H23" i="29" s="1"/>
  <c r="H33" i="29" s="1"/>
  <c r="G54" i="19"/>
  <c r="G82" i="1" s="1"/>
  <c r="G42" i="17"/>
  <c r="G57" i="17" s="1"/>
  <c r="G18" i="19"/>
  <c r="E90" i="1"/>
  <c r="E23" i="1" s="1"/>
  <c r="E74" i="27"/>
  <c r="H37" i="10"/>
  <c r="H41" i="10" s="1"/>
  <c r="H39" i="10" s="1"/>
  <c r="H43" i="10" s="1"/>
  <c r="F77" i="17" s="1"/>
  <c r="I34" i="10"/>
  <c r="G39" i="10"/>
  <c r="G43" i="10" s="1"/>
  <c r="E77" i="17" s="1"/>
  <c r="I35" i="10"/>
  <c r="F44" i="10"/>
  <c r="D65" i="1" s="1"/>
  <c r="D90" i="1"/>
  <c r="D14" i="1" s="1"/>
  <c r="H198" i="2"/>
  <c r="U71" i="28"/>
  <c r="U65" i="28"/>
  <c r="U74" i="28"/>
  <c r="U75" i="28"/>
  <c r="U76" i="28"/>
  <c r="U72" i="28"/>
  <c r="U69" i="28"/>
  <c r="U67" i="28"/>
  <c r="U63" i="28"/>
  <c r="U70" i="28"/>
  <c r="U64" i="28"/>
  <c r="U73" i="28"/>
  <c r="U68" i="28"/>
  <c r="U66" i="28"/>
  <c r="N64" i="28"/>
  <c r="N73" i="28"/>
  <c r="N74" i="28"/>
  <c r="N75" i="28"/>
  <c r="N76" i="28"/>
  <c r="N65" i="28"/>
  <c r="N72" i="28"/>
  <c r="N63" i="28"/>
  <c r="N68" i="28"/>
  <c r="N70" i="28"/>
  <c r="N71" i="28"/>
  <c r="N67" i="28"/>
  <c r="N69" i="28"/>
  <c r="N66" i="28"/>
  <c r="D54" i="19"/>
  <c r="D82" i="1" s="1"/>
  <c r="I94" i="4"/>
  <c r="K32" i="28"/>
  <c r="L33" i="28"/>
  <c r="G33" i="29"/>
  <c r="J77" i="1"/>
  <c r="J67" i="1"/>
  <c r="J68" i="1"/>
  <c r="K69" i="1"/>
  <c r="G67" i="27" l="1"/>
  <c r="E11" i="1"/>
  <c r="E22" i="1"/>
  <c r="E13" i="1"/>
  <c r="E28" i="1"/>
  <c r="E17" i="1"/>
  <c r="E25" i="1"/>
  <c r="E15" i="1"/>
  <c r="E21" i="1"/>
  <c r="E14" i="1"/>
  <c r="E26" i="1"/>
  <c r="E24" i="1"/>
  <c r="E16" i="1"/>
  <c r="E19" i="1"/>
  <c r="E18" i="1"/>
  <c r="E27" i="1"/>
  <c r="E20" i="1"/>
  <c r="L35" i="28"/>
  <c r="L36" i="28"/>
  <c r="J32" i="10" s="1"/>
  <c r="H54" i="19"/>
  <c r="H82" i="1" s="1"/>
  <c r="K82" i="1" s="1"/>
  <c r="H18" i="19"/>
  <c r="H42" i="17"/>
  <c r="H57" i="17" s="1"/>
  <c r="I38" i="29"/>
  <c r="I23" i="29" s="1"/>
  <c r="I33" i="29" s="1"/>
  <c r="F74" i="27"/>
  <c r="H40" i="10"/>
  <c r="H44" i="10" s="1"/>
  <c r="F65" i="1" s="1"/>
  <c r="J65" i="1" s="1"/>
  <c r="G45" i="10"/>
  <c r="I37" i="10"/>
  <c r="I41" i="10" s="1"/>
  <c r="I39" i="10" s="1"/>
  <c r="I43" i="10" s="1"/>
  <c r="G77" i="17" s="1"/>
  <c r="J34" i="10"/>
  <c r="J35" i="10"/>
  <c r="D13" i="1"/>
  <c r="D11" i="1"/>
  <c r="F45" i="10"/>
  <c r="D21" i="1"/>
  <c r="D18" i="1"/>
  <c r="D25" i="1"/>
  <c r="D24" i="1"/>
  <c r="D27" i="1"/>
  <c r="D20" i="1"/>
  <c r="D22" i="1"/>
  <c r="D23" i="1"/>
  <c r="D26" i="1"/>
  <c r="D16" i="1"/>
  <c r="D17" i="1"/>
  <c r="D15" i="1"/>
  <c r="D19" i="1"/>
  <c r="D42" i="17"/>
  <c r="D18" i="19"/>
  <c r="J82" i="1"/>
  <c r="D28" i="1"/>
  <c r="E38" i="29"/>
  <c r="E23" i="29" s="1"/>
  <c r="K81" i="1"/>
  <c r="L32" i="28"/>
  <c r="K80" i="1"/>
  <c r="K79" i="1"/>
  <c r="K72" i="1"/>
  <c r="K70" i="1"/>
  <c r="K71" i="1"/>
  <c r="H67" i="27" l="1"/>
  <c r="H45" i="10"/>
  <c r="F90" i="1"/>
  <c r="J37" i="10"/>
  <c r="J41" i="10" s="1"/>
  <c r="H74" i="27" s="1"/>
  <c r="G74" i="27"/>
  <c r="I40" i="10"/>
  <c r="G90" i="1" s="1"/>
  <c r="G21" i="1" s="1"/>
  <c r="E33" i="29"/>
  <c r="D57" i="17"/>
  <c r="K67" i="1"/>
  <c r="K77" i="1"/>
  <c r="K68" i="1"/>
  <c r="J26" i="1" l="1"/>
  <c r="F11" i="1"/>
  <c r="J21" i="1"/>
  <c r="J20" i="1"/>
  <c r="J25" i="1"/>
  <c r="J23" i="1"/>
  <c r="J14" i="1"/>
  <c r="F26" i="1"/>
  <c r="J19" i="1"/>
  <c r="F25" i="1"/>
  <c r="J18" i="1"/>
  <c r="J17" i="1"/>
  <c r="F16" i="1"/>
  <c r="J27" i="1"/>
  <c r="J11" i="1"/>
  <c r="G15" i="1"/>
  <c r="G23" i="1"/>
  <c r="J22" i="1"/>
  <c r="F18" i="1"/>
  <c r="J15" i="1"/>
  <c r="F21" i="1"/>
  <c r="F20" i="1"/>
  <c r="F19" i="1"/>
  <c r="F14" i="1"/>
  <c r="F22" i="1"/>
  <c r="F15" i="1"/>
  <c r="J40" i="10"/>
  <c r="J44" i="10" s="1"/>
  <c r="H65" i="1" s="1"/>
  <c r="F13" i="1"/>
  <c r="F17" i="1"/>
  <c r="F23" i="1"/>
  <c r="F24" i="1"/>
  <c r="F27" i="1"/>
  <c r="G28" i="1"/>
  <c r="G14" i="1"/>
  <c r="J39" i="10"/>
  <c r="J43" i="10" s="1"/>
  <c r="H77" i="17" s="1"/>
  <c r="G16" i="1"/>
  <c r="G24" i="1"/>
  <c r="F28" i="1"/>
  <c r="J24" i="1"/>
  <c r="J13" i="1"/>
  <c r="J16" i="1"/>
  <c r="J28" i="1"/>
  <c r="G27" i="1"/>
  <c r="G17" i="1"/>
  <c r="G22" i="1"/>
  <c r="G26" i="1"/>
  <c r="G20" i="1"/>
  <c r="I44" i="10"/>
  <c r="G65" i="1" s="1"/>
  <c r="G11" i="1" s="1"/>
  <c r="G25" i="1"/>
  <c r="G19" i="1"/>
  <c r="G13" i="1"/>
  <c r="G18" i="1"/>
  <c r="I57" i="17"/>
  <c r="J57" i="17"/>
  <c r="H90" i="1" l="1"/>
  <c r="K11" i="1" s="1"/>
  <c r="I45" i="10"/>
  <c r="K65" i="1"/>
  <c r="J45" i="10"/>
  <c r="K14" i="1" l="1"/>
  <c r="H28" i="1"/>
  <c r="H23" i="1"/>
  <c r="H25" i="1"/>
  <c r="H16" i="1"/>
  <c r="H11" i="1"/>
  <c r="K22" i="1"/>
  <c r="K24" i="1"/>
  <c r="K13" i="1"/>
  <c r="H14" i="1"/>
  <c r="H18" i="1"/>
  <c r="K28" i="1"/>
  <c r="H21" i="1"/>
  <c r="K16" i="1"/>
  <c r="K18" i="1"/>
  <c r="K15" i="1"/>
  <c r="H24" i="1"/>
  <c r="K26" i="1"/>
  <c r="H22" i="1"/>
  <c r="K23" i="1"/>
  <c r="H19" i="1"/>
  <c r="K19" i="1"/>
  <c r="H13" i="1"/>
  <c r="H26" i="1"/>
  <c r="K25" i="1"/>
  <c r="K20" i="1"/>
  <c r="K17" i="1"/>
  <c r="H15" i="1"/>
  <c r="K27" i="1"/>
  <c r="H20" i="1"/>
  <c r="K21" i="1"/>
  <c r="H17" i="1"/>
  <c r="H27" i="1"/>
  <c r="E36" i="29" l="1"/>
  <c r="F36" i="29" l="1"/>
  <c r="E103" i="4"/>
  <c r="E40" i="29"/>
  <c r="E60" i="29" s="1"/>
  <c r="E48" i="29"/>
  <c r="F40" i="29" l="1"/>
  <c r="F60" i="29" s="1"/>
  <c r="F48" i="29"/>
  <c r="F103" i="4"/>
  <c r="E104" i="4"/>
  <c r="F104" i="4" l="1"/>
  <c r="G36" i="29"/>
  <c r="G40" i="29" l="1"/>
  <c r="G60" i="29" s="1"/>
  <c r="G103" i="4"/>
  <c r="G48" i="29"/>
  <c r="H36" i="29"/>
  <c r="H40" i="29" l="1"/>
  <c r="H60" i="29" s="1"/>
  <c r="H103" i="4"/>
  <c r="H48" i="29"/>
  <c r="G104" i="4"/>
  <c r="I36" i="29" l="1"/>
  <c r="H104" i="4"/>
  <c r="I40" i="29" l="1"/>
  <c r="I60" i="29" s="1"/>
  <c r="I103" i="4"/>
  <c r="I48" i="29"/>
  <c r="I104" i="4" l="1"/>
  <c r="I14" i="2" l="1"/>
  <c r="I48" i="2" l="1"/>
  <c r="F49" i="2"/>
  <c r="E49" i="2"/>
  <c r="D49" i="2"/>
  <c r="G49" i="2" l="1"/>
  <c r="H15" i="2"/>
  <c r="D54" i="2"/>
  <c r="D53" i="2"/>
  <c r="F53" i="2"/>
  <c r="F54" i="2"/>
  <c r="E53" i="2"/>
  <c r="E54" i="2"/>
  <c r="G53" i="2"/>
  <c r="G54" i="2"/>
  <c r="H19" i="2"/>
  <c r="H20" i="2"/>
  <c r="H49" i="2"/>
  <c r="G15" i="2"/>
  <c r="J14" i="2"/>
  <c r="J13" i="2"/>
  <c r="D198" i="2"/>
  <c r="D197" i="2"/>
  <c r="I13" i="2"/>
  <c r="I15" i="2" s="1"/>
  <c r="D15" i="2"/>
  <c r="E197" i="2"/>
  <c r="E15" i="2"/>
  <c r="J47" i="2"/>
  <c r="I47" i="2"/>
  <c r="I49" i="2" s="1"/>
  <c r="F197" i="2"/>
  <c r="F15" i="2"/>
  <c r="G197" i="2"/>
  <c r="J48" i="2"/>
  <c r="H197" i="2"/>
  <c r="J15" i="2" l="1"/>
  <c r="J49" i="2"/>
  <c r="E19" i="2"/>
  <c r="E20" i="2"/>
  <c r="G20" i="2"/>
  <c r="G19" i="2"/>
  <c r="H54" i="2"/>
  <c r="J54" i="2" s="1"/>
  <c r="H53" i="2"/>
  <c r="J53" i="2" s="1"/>
  <c r="F20" i="2"/>
  <c r="F19" i="2"/>
  <c r="D19" i="2"/>
  <c r="D20" i="2"/>
  <c r="I53" i="2"/>
  <c r="I54" i="2"/>
  <c r="E59" i="2"/>
  <c r="G30" i="2"/>
  <c r="J20" i="2" l="1"/>
  <c r="I20" i="2"/>
  <c r="J19" i="2"/>
  <c r="I19" i="2"/>
  <c r="D30" i="2"/>
  <c r="I23" i="2"/>
  <c r="G38" i="2"/>
  <c r="G42" i="2" s="1"/>
  <c r="G37" i="2"/>
  <c r="G41" i="2" s="1"/>
  <c r="D59" i="2"/>
  <c r="I57" i="2"/>
  <c r="E66" i="2"/>
  <c r="E70" i="2" s="1"/>
  <c r="E67" i="2"/>
  <c r="E71" i="2" s="1"/>
  <c r="F59" i="2"/>
  <c r="E72" i="2" l="1"/>
  <c r="G43" i="2"/>
  <c r="D66" i="2"/>
  <c r="D67" i="2"/>
  <c r="I59" i="2"/>
  <c r="D38" i="2"/>
  <c r="D37" i="2"/>
  <c r="I30" i="2"/>
  <c r="F67" i="2"/>
  <c r="F71" i="2" s="1"/>
  <c r="F66" i="2"/>
  <c r="F70" i="2" s="1"/>
  <c r="H30" i="2"/>
  <c r="F30" i="2"/>
  <c r="H59" i="2"/>
  <c r="F72" i="2" l="1"/>
  <c r="I38" i="2"/>
  <c r="D42" i="2"/>
  <c r="H67" i="2"/>
  <c r="H71" i="2" s="1"/>
  <c r="H66" i="2"/>
  <c r="H70" i="2" s="1"/>
  <c r="H38" i="2"/>
  <c r="H42" i="2" s="1"/>
  <c r="H37" i="2"/>
  <c r="H41" i="2" s="1"/>
  <c r="F37" i="2"/>
  <c r="F41" i="2" s="1"/>
  <c r="F38" i="2"/>
  <c r="F42" i="2" s="1"/>
  <c r="F102" i="2" s="1"/>
  <c r="F66" i="1" s="1"/>
  <c r="I67" i="2"/>
  <c r="D71" i="2"/>
  <c r="D70" i="2"/>
  <c r="I66" i="2"/>
  <c r="G59" i="2"/>
  <c r="J57" i="2"/>
  <c r="E30" i="2"/>
  <c r="J23" i="2"/>
  <c r="I37" i="2"/>
  <c r="D41" i="2"/>
  <c r="H102" i="2" l="1"/>
  <c r="H66" i="1" s="1"/>
  <c r="H72" i="2"/>
  <c r="G67" i="2"/>
  <c r="G66" i="2"/>
  <c r="J59" i="2"/>
  <c r="H83" i="1"/>
  <c r="H12" i="1"/>
  <c r="H29" i="1" s="1"/>
  <c r="D43" i="2"/>
  <c r="I41" i="2"/>
  <c r="D101" i="2"/>
  <c r="I71" i="2"/>
  <c r="F83" i="1"/>
  <c r="F12" i="1"/>
  <c r="F29" i="1" s="1"/>
  <c r="I42" i="2"/>
  <c r="D102" i="2"/>
  <c r="F101" i="2"/>
  <c r="F103" i="2" s="1"/>
  <c r="F43" i="2"/>
  <c r="E38" i="2"/>
  <c r="E37" i="2"/>
  <c r="J30" i="2"/>
  <c r="I70" i="2"/>
  <c r="D72" i="2"/>
  <c r="H43" i="2"/>
  <c r="H101" i="2"/>
  <c r="H103" i="2" l="1"/>
  <c r="D66" i="1"/>
  <c r="I102" i="2"/>
  <c r="I72" i="2"/>
  <c r="E41" i="2"/>
  <c r="J37" i="2"/>
  <c r="D103" i="2"/>
  <c r="I101" i="2"/>
  <c r="E42" i="2"/>
  <c r="J38" i="2"/>
  <c r="I43" i="2"/>
  <c r="G70" i="2"/>
  <c r="J66" i="2"/>
  <c r="G71" i="2"/>
  <c r="J67" i="2"/>
  <c r="G72" i="2" l="1"/>
  <c r="J72" i="2" s="1"/>
  <c r="G101" i="2"/>
  <c r="J70" i="2"/>
  <c r="E43" i="2"/>
  <c r="J43" i="2" s="1"/>
  <c r="E101" i="2"/>
  <c r="J41" i="2"/>
  <c r="I103" i="2"/>
  <c r="E102" i="2"/>
  <c r="J42" i="2"/>
  <c r="G102" i="2"/>
  <c r="G66" i="1" s="1"/>
  <c r="J71" i="2"/>
  <c r="J66" i="1"/>
  <c r="J83" i="1" s="1"/>
  <c r="D83" i="1"/>
  <c r="D12" i="1"/>
  <c r="D29" i="1" s="1"/>
  <c r="J12" i="1"/>
  <c r="J29" i="1" s="1"/>
  <c r="E103" i="2" l="1"/>
  <c r="J101" i="2"/>
  <c r="G12" i="1"/>
  <c r="G29" i="1" s="1"/>
  <c r="G83" i="1"/>
  <c r="E66" i="1"/>
  <c r="J102" i="2"/>
  <c r="G103" i="2"/>
  <c r="E83" i="1" l="1"/>
  <c r="E12" i="1"/>
  <c r="E29" i="1" s="1"/>
  <c r="K12" i="1"/>
  <c r="K66" i="1"/>
  <c r="K83" i="1" s="1"/>
  <c r="J103" i="2"/>
  <c r="K29" i="1" l="1"/>
  <c r="I96" i="4" l="1"/>
  <c r="I106" i="4" s="1"/>
  <c r="H29" i="17"/>
  <c r="E96" i="4" l="1"/>
  <c r="E106" i="4" s="1"/>
  <c r="D29" i="17"/>
  <c r="H31" i="17"/>
  <c r="I97" i="4"/>
  <c r="G96" i="4"/>
  <c r="G106" i="4" s="1"/>
  <c r="F29" i="17"/>
  <c r="H96" i="4"/>
  <c r="H106" i="4" s="1"/>
  <c r="G29" i="17"/>
  <c r="F96" i="4"/>
  <c r="E29" i="17"/>
  <c r="H97" i="4" l="1"/>
  <c r="G31" i="17"/>
  <c r="F31" i="17"/>
  <c r="F34" i="17" s="1"/>
  <c r="G97" i="4"/>
  <c r="E97" i="4"/>
  <c r="D31" i="17"/>
  <c r="E31" i="17"/>
  <c r="E34" i="17" s="1"/>
  <c r="F97" i="4"/>
  <c r="F107" i="4" s="1"/>
  <c r="F106" i="4"/>
  <c r="I98" i="4"/>
  <c r="I107" i="4"/>
  <c r="I108" i="4" s="1"/>
  <c r="H34" i="17"/>
  <c r="F98" i="4" l="1"/>
  <c r="D34" i="17"/>
  <c r="E98" i="4"/>
  <c r="E107" i="4"/>
  <c r="E108" i="4" s="1"/>
  <c r="G34" i="17"/>
  <c r="H98" i="4"/>
  <c r="H107" i="4"/>
  <c r="H108" i="4" s="1"/>
  <c r="F108" i="4"/>
  <c r="G98" i="4"/>
  <c r="G107" i="4"/>
  <c r="G108" i="4" s="1"/>
  <c r="D21" i="27" l="1"/>
  <c r="E21" i="27" l="1"/>
  <c r="D40" i="27"/>
  <c r="D42" i="27" l="1"/>
  <c r="E40" i="27"/>
  <c r="F21" i="27" l="1"/>
  <c r="G21" i="27"/>
  <c r="D59" i="27"/>
  <c r="D46" i="27"/>
  <c r="E42" i="27"/>
  <c r="F40" i="27" l="1"/>
  <c r="E45" i="27"/>
  <c r="D65" i="27"/>
  <c r="G40" i="27"/>
  <c r="E46" i="27"/>
  <c r="F45" i="27" s="1"/>
  <c r="E59" i="27"/>
  <c r="G42" i="27" l="1"/>
  <c r="E65" i="27"/>
  <c r="F42" i="27"/>
  <c r="H21" i="27"/>
  <c r="D66" i="27"/>
  <c r="D40" i="17"/>
  <c r="D68" i="27"/>
  <c r="H40" i="27" l="1"/>
  <c r="F46" i="27"/>
  <c r="F59" i="27"/>
  <c r="E46" i="29"/>
  <c r="D73" i="27"/>
  <c r="D91" i="1" s="1"/>
  <c r="D72" i="27"/>
  <c r="D75" i="27" s="1"/>
  <c r="D70" i="27"/>
  <c r="E68" i="27"/>
  <c r="E66" i="27"/>
  <c r="E40" i="17"/>
  <c r="D44" i="17"/>
  <c r="D66" i="17"/>
  <c r="G59" i="27"/>
  <c r="G46" i="27"/>
  <c r="H45" i="27" s="1"/>
  <c r="G45" i="27" l="1"/>
  <c r="G65" i="27" s="1"/>
  <c r="F65" i="27"/>
  <c r="I44" i="17"/>
  <c r="D83" i="17"/>
  <c r="E66" i="17"/>
  <c r="E44" i="17"/>
  <c r="E83" i="17" s="1"/>
  <c r="H42" i="27"/>
  <c r="D64" i="17"/>
  <c r="D77" i="27"/>
  <c r="E73" i="27"/>
  <c r="E91" i="1" s="1"/>
  <c r="F46" i="29"/>
  <c r="E72" i="27"/>
  <c r="E75" i="27" s="1"/>
  <c r="E70" i="27"/>
  <c r="D47" i="1"/>
  <c r="D48" i="1"/>
  <c r="D40" i="1"/>
  <c r="D41" i="1"/>
  <c r="D43" i="1"/>
  <c r="D44" i="1"/>
  <c r="D49" i="1"/>
  <c r="D46" i="1"/>
  <c r="D53" i="1"/>
  <c r="D42" i="1"/>
  <c r="D38" i="1"/>
  <c r="D45" i="1"/>
  <c r="D54" i="1"/>
  <c r="D52" i="1"/>
  <c r="D55" i="1"/>
  <c r="D50" i="1"/>
  <c r="D51" i="1"/>
  <c r="J51" i="1"/>
  <c r="J49" i="1"/>
  <c r="J43" i="1"/>
  <c r="J47" i="1"/>
  <c r="J50" i="1"/>
  <c r="J46" i="1"/>
  <c r="J40" i="1"/>
  <c r="J52" i="1"/>
  <c r="J48" i="1"/>
  <c r="J45" i="1"/>
  <c r="J44" i="1"/>
  <c r="J42" i="1"/>
  <c r="J55" i="1"/>
  <c r="J41" i="1"/>
  <c r="J38" i="1"/>
  <c r="J53" i="1"/>
  <c r="J54" i="1"/>
  <c r="D39" i="1"/>
  <c r="J39" i="1"/>
  <c r="G40" i="17" l="1"/>
  <c r="G66" i="27"/>
  <c r="G68" i="27"/>
  <c r="D71" i="17"/>
  <c r="I71" i="17" s="1"/>
  <c r="D67" i="17"/>
  <c r="D68" i="17" s="1"/>
  <c r="D70" i="17" s="1"/>
  <c r="J56" i="1"/>
  <c r="E53" i="1"/>
  <c r="E44" i="1"/>
  <c r="E50" i="1"/>
  <c r="E41" i="1"/>
  <c r="E42" i="1"/>
  <c r="E51" i="1"/>
  <c r="E46" i="1"/>
  <c r="E40" i="1"/>
  <c r="E45" i="1"/>
  <c r="E47" i="1"/>
  <c r="E54" i="1"/>
  <c r="E52" i="1"/>
  <c r="E38" i="1"/>
  <c r="E48" i="1"/>
  <c r="E49" i="1"/>
  <c r="E55" i="1"/>
  <c r="E43" i="1"/>
  <c r="E39" i="1"/>
  <c r="D56" i="1"/>
  <c r="E66" i="29"/>
  <c r="I83" i="17"/>
  <c r="F66" i="29"/>
  <c r="H46" i="27"/>
  <c r="H65" i="27" s="1"/>
  <c r="H59" i="27"/>
  <c r="E64" i="17"/>
  <c r="E77" i="27"/>
  <c r="F40" i="17"/>
  <c r="F66" i="27"/>
  <c r="F68" i="27"/>
  <c r="F66" i="17" l="1"/>
  <c r="F44" i="17"/>
  <c r="E56" i="1"/>
  <c r="E67" i="17"/>
  <c r="E68" i="17" s="1"/>
  <c r="E70" i="17" s="1"/>
  <c r="E71" i="17"/>
  <c r="D85" i="17"/>
  <c r="I70" i="17"/>
  <c r="G46" i="29"/>
  <c r="F72" i="27"/>
  <c r="F75" i="27" s="1"/>
  <c r="F73" i="27"/>
  <c r="F91" i="1" s="1"/>
  <c r="F70" i="27"/>
  <c r="H40" i="17"/>
  <c r="H68" i="27"/>
  <c r="H66" i="27"/>
  <c r="F67" i="29"/>
  <c r="G66" i="17"/>
  <c r="G44" i="17"/>
  <c r="G83" i="17" s="1"/>
  <c r="E67" i="29"/>
  <c r="G72" i="27"/>
  <c r="G75" i="27" s="1"/>
  <c r="G73" i="27"/>
  <c r="G91" i="1" s="1"/>
  <c r="H46" i="29"/>
  <c r="G70" i="27"/>
  <c r="E85" i="17" l="1"/>
  <c r="E84" i="1" s="1"/>
  <c r="F77" i="27"/>
  <c r="F64" i="17"/>
  <c r="G52" i="1"/>
  <c r="G44" i="1"/>
  <c r="G45" i="1"/>
  <c r="G41" i="1"/>
  <c r="G42" i="1"/>
  <c r="G50" i="1"/>
  <c r="G49" i="1"/>
  <c r="G48" i="1"/>
  <c r="G54" i="1"/>
  <c r="G47" i="1"/>
  <c r="G53" i="1"/>
  <c r="G51" i="1"/>
  <c r="G43" i="1"/>
  <c r="G55" i="1"/>
  <c r="G38" i="1"/>
  <c r="G46" i="1"/>
  <c r="G40" i="1"/>
  <c r="G39" i="1"/>
  <c r="G64" i="17"/>
  <c r="G77" i="27"/>
  <c r="I46" i="29"/>
  <c r="H72" i="27"/>
  <c r="H75" i="27" s="1"/>
  <c r="H73" i="27"/>
  <c r="H91" i="1" s="1"/>
  <c r="K55" i="1" s="1"/>
  <c r="H70" i="27"/>
  <c r="D84" i="1"/>
  <c r="I85" i="17"/>
  <c r="E68" i="29"/>
  <c r="D87" i="17"/>
  <c r="H44" i="17"/>
  <c r="H83" i="17" s="1"/>
  <c r="H66" i="17"/>
  <c r="F83" i="17"/>
  <c r="H66" i="29"/>
  <c r="F44" i="1"/>
  <c r="F43" i="1"/>
  <c r="F50" i="1"/>
  <c r="F49" i="1"/>
  <c r="F42" i="1"/>
  <c r="F52" i="1"/>
  <c r="F41" i="1"/>
  <c r="F45" i="1"/>
  <c r="F53" i="1"/>
  <c r="F38" i="1"/>
  <c r="F48" i="1"/>
  <c r="F55" i="1"/>
  <c r="F40" i="1"/>
  <c r="F51" i="1"/>
  <c r="F46" i="1"/>
  <c r="F47" i="1"/>
  <c r="F54" i="1"/>
  <c r="F39" i="1"/>
  <c r="K42" i="1"/>
  <c r="K39" i="1"/>
  <c r="K40" i="1"/>
  <c r="K52" i="1"/>
  <c r="K38" i="1"/>
  <c r="K53" i="1"/>
  <c r="K49" i="1"/>
  <c r="K48" i="1"/>
  <c r="K54" i="1"/>
  <c r="K43" i="1" l="1"/>
  <c r="E87" i="17"/>
  <c r="E85" i="1" s="1"/>
  <c r="F68" i="29"/>
  <c r="K44" i="1"/>
  <c r="K41" i="1"/>
  <c r="J44" i="17"/>
  <c r="K47" i="1"/>
  <c r="K51" i="1"/>
  <c r="K50" i="1"/>
  <c r="K45" i="1"/>
  <c r="K46" i="1"/>
  <c r="F56" i="1"/>
  <c r="J30" i="1"/>
  <c r="D30" i="1"/>
  <c r="J84" i="1"/>
  <c r="H64" i="17"/>
  <c r="H77" i="27"/>
  <c r="D85" i="1"/>
  <c r="D57" i="1" s="1"/>
  <c r="I87" i="17"/>
  <c r="E69" i="29"/>
  <c r="E70" i="29" s="1"/>
  <c r="E49" i="29"/>
  <c r="E50" i="29" s="1"/>
  <c r="E52" i="29" s="1"/>
  <c r="E62" i="29" s="1"/>
  <c r="G71" i="17"/>
  <c r="G67" i="17"/>
  <c r="G68" i="17" s="1"/>
  <c r="G70" i="17" s="1"/>
  <c r="F69" i="29"/>
  <c r="F70" i="29" s="1"/>
  <c r="F49" i="29"/>
  <c r="F50" i="29" s="1"/>
  <c r="F52" i="29" s="1"/>
  <c r="F62" i="29" s="1"/>
  <c r="E57" i="1"/>
  <c r="E30" i="1"/>
  <c r="H67" i="29"/>
  <c r="G56" i="1"/>
  <c r="G66" i="29"/>
  <c r="G67" i="29" s="1"/>
  <c r="J83" i="17"/>
  <c r="I66" i="29"/>
  <c r="H52" i="1"/>
  <c r="H51" i="1"/>
  <c r="H54" i="1"/>
  <c r="H46" i="1"/>
  <c r="H47" i="1"/>
  <c r="H38" i="1"/>
  <c r="H55" i="1"/>
  <c r="H45" i="1"/>
  <c r="H42" i="1"/>
  <c r="H53" i="1"/>
  <c r="H44" i="1"/>
  <c r="H41" i="1"/>
  <c r="H48" i="1"/>
  <c r="H50" i="1"/>
  <c r="H43" i="1"/>
  <c r="H40" i="1"/>
  <c r="H49" i="1"/>
  <c r="H39" i="1"/>
  <c r="F67" i="17"/>
  <c r="F68" i="17" s="1"/>
  <c r="F70" i="17" s="1"/>
  <c r="F71" i="17"/>
  <c r="K56" i="1" l="1"/>
  <c r="F85" i="17"/>
  <c r="F84" i="1" s="1"/>
  <c r="G68" i="29"/>
  <c r="G85" i="17"/>
  <c r="J85" i="1"/>
  <c r="I67" i="29"/>
  <c r="F87" i="17"/>
  <c r="D86" i="1"/>
  <c r="E64" i="29"/>
  <c r="D87" i="1" s="1"/>
  <c r="H71" i="17"/>
  <c r="J71" i="17" s="1"/>
  <c r="H67" i="17"/>
  <c r="H68" i="17" s="1"/>
  <c r="H70" i="17" s="1"/>
  <c r="J70" i="17" s="1"/>
  <c r="H56" i="1"/>
  <c r="J57" i="1"/>
  <c r="E86" i="1"/>
  <c r="F64" i="29"/>
  <c r="E87" i="1" s="1"/>
  <c r="H85" i="17" l="1"/>
  <c r="J87" i="1"/>
  <c r="G84" i="1"/>
  <c r="H68" i="29"/>
  <c r="G87" i="17"/>
  <c r="G85" i="1" s="1"/>
  <c r="F85" i="1"/>
  <c r="F57" i="1" s="1"/>
  <c r="J85" i="17"/>
  <c r="G49" i="29"/>
  <c r="G50" i="29" s="1"/>
  <c r="G52" i="29" s="1"/>
  <c r="G62" i="29" s="1"/>
  <c r="G69" i="29"/>
  <c r="G70" i="29" s="1"/>
  <c r="J86" i="1"/>
  <c r="J88" i="1" s="1"/>
  <c r="J31" i="1"/>
  <c r="J32" i="1" s="1"/>
  <c r="D31" i="1"/>
  <c r="D32" i="1" s="1"/>
  <c r="J58" i="1"/>
  <c r="J59" i="1" s="1"/>
  <c r="D58" i="1"/>
  <c r="D59" i="1" s="1"/>
  <c r="D88" i="1"/>
  <c r="E31" i="1"/>
  <c r="E32" i="1" s="1"/>
  <c r="E58" i="1"/>
  <c r="E59" i="1" s="1"/>
  <c r="E88" i="1"/>
  <c r="H84" i="1"/>
  <c r="K84" i="1" s="1"/>
  <c r="I68" i="29"/>
  <c r="H87" i="17"/>
  <c r="H85" i="1" s="1"/>
  <c r="F30" i="1"/>
  <c r="K30" i="1"/>
  <c r="J87" i="17" l="1"/>
  <c r="K85" i="1"/>
  <c r="H69" i="29"/>
  <c r="H70" i="29" s="1"/>
  <c r="H49" i="29"/>
  <c r="H50" i="29" s="1"/>
  <c r="H52" i="29" s="1"/>
  <c r="H62" i="29" s="1"/>
  <c r="G30" i="1"/>
  <c r="G57" i="1"/>
  <c r="I69" i="29"/>
  <c r="I70" i="29" s="1"/>
  <c r="I49" i="29"/>
  <c r="I50" i="29" s="1"/>
  <c r="I52" i="29" s="1"/>
  <c r="I62" i="29" s="1"/>
  <c r="H30" i="1"/>
  <c r="H57" i="1"/>
  <c r="K57" i="1"/>
  <c r="F86" i="1"/>
  <c r="G64" i="29"/>
  <c r="F87" i="1" s="1"/>
  <c r="G86" i="1" l="1"/>
  <c r="H64" i="29"/>
  <c r="G87" i="1" s="1"/>
  <c r="H86" i="1"/>
  <c r="I64" i="29"/>
  <c r="H87" i="1" s="1"/>
  <c r="F31" i="1"/>
  <c r="F32" i="1" s="1"/>
  <c r="F58" i="1"/>
  <c r="F59" i="1" s="1"/>
  <c r="F88" i="1"/>
  <c r="K87" i="1" l="1"/>
  <c r="H31" i="1"/>
  <c r="H32" i="1" s="1"/>
  <c r="H58" i="1"/>
  <c r="H59" i="1" s="1"/>
  <c r="H88" i="1"/>
  <c r="K58" i="1"/>
  <c r="K59" i="1" s="1"/>
  <c r="K86" i="1"/>
  <c r="K88" i="1" s="1"/>
  <c r="K31" i="1"/>
  <c r="K32" i="1" s="1"/>
  <c r="G31" i="1"/>
  <c r="G32" i="1" s="1"/>
  <c r="G58" i="1"/>
  <c r="G59" i="1" s="1"/>
  <c r="G8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<sst xmlns="http://schemas.openxmlformats.org/spreadsheetml/2006/main" count="1982" uniqueCount="905">
  <si>
    <t>Regulatory Financial Performance Report</t>
  </si>
  <si>
    <t xml:space="preserve">                           </t>
  </si>
  <si>
    <t>RIIO-2 start date (enter 2022 for 2021-22)</t>
  </si>
  <si>
    <t>Licensee</t>
  </si>
  <si>
    <t>SPMW</t>
  </si>
  <si>
    <t>Input cells</t>
  </si>
  <si>
    <t>Sector</t>
  </si>
  <si>
    <t>Totals cells (of formula within worksheet)</t>
  </si>
  <si>
    <t>Reporting Year:
(e.g.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</si>
  <si>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</si>
  <si>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</si>
  <si>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</si>
  <si>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</si>
  <si>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</si>
  <si>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</si>
  <si>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</si>
  <si>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</si>
  <si>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</si>
  <si>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check £m</t>
  </si>
  <si>
    <t>ED</t>
  </si>
  <si>
    <t>£m 20/21</t>
  </si>
  <si>
    <t>Sharing Factor</t>
  </si>
  <si>
    <t>ET</t>
  </si>
  <si>
    <t>£m 18/19</t>
  </si>
  <si>
    <t>Notional Gearing</t>
  </si>
  <si>
    <t>GD</t>
  </si>
  <si>
    <t>Price basis</t>
  </si>
  <si>
    <t>GT</t>
  </si>
  <si>
    <t>Deadband threshold for materiality checks for use in R8a (Rows 31-93)</t>
  </si>
  <si>
    <t>ESO</t>
  </si>
  <si>
    <t>Deadband threshold for use in R8a (Row 95)</t>
  </si>
  <si>
    <t>Corporate Tax</t>
  </si>
  <si>
    <t>GD&amp;T</t>
  </si>
  <si>
    <t>Price indices*</t>
  </si>
  <si>
    <t>Actual / Forecast index</t>
  </si>
  <si>
    <t>Year end</t>
  </si>
  <si>
    <t>Reporting Year</t>
  </si>
  <si>
    <t>Financial Year Average RPI - CPIH (PIt)</t>
  </si>
  <si>
    <t>Combined RPI-CPIH price index (financial year end)</t>
  </si>
  <si>
    <t>Consumer Prices Index incl. housing costs (financial year average)</t>
  </si>
  <si>
    <t>Long term CPIH inflation forecast</t>
  </si>
  <si>
    <t>LTCPIHt</t>
  </si>
  <si>
    <t>ED2</t>
  </si>
  <si>
    <t>Price Indices*</t>
  </si>
  <si>
    <t>Price Conversion Factors*</t>
  </si>
  <si>
    <t>RPI-CPIH real to nominal prices CF</t>
  </si>
  <si>
    <t>1 year change in Fin Year Average RPI-CPIH</t>
  </si>
  <si>
    <t>Combined real to nominal prices conversion factor (financial year end)</t>
  </si>
  <si>
    <t xml:space="preserve">*Note:  The price conversion factors are derived from price indices in line with the inflation methodology in the PCFM to reflect actuals through June sourced from Office of National Statistics i.e. ONS (Historical data - https://www.ons.gov.uk/economy/inflationandpriceindices/timeseries/l522/mm23) and the forecast from the Office of Budget Responsibility i.e. OBR (https://obr.uk/data). Please refer to chapter 2 of the Price Control Financial Handbook for more information. </t>
  </si>
  <si>
    <t>Allowed cost of debt %</t>
  </si>
  <si>
    <t>SSES</t>
  </si>
  <si>
    <t>NGED-EMID</t>
  </si>
  <si>
    <t>UKPN-EPN</t>
  </si>
  <si>
    <t>ED - excluding SSES,NGED-EMID,UKPN-EPN</t>
  </si>
  <si>
    <t>SHET</t>
  </si>
  <si>
    <t>ET - excluding SHET</t>
  </si>
  <si>
    <t>GD with Uplift</t>
  </si>
  <si>
    <t>Allowed cost of equity %</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</si>
  <si>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</si>
  <si>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</si>
  <si>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</si>
  <si>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</si>
  <si>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</si>
  <si>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</si>
  <si>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</si>
  <si>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</si>
  <si>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</si>
  <si>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</si>
  <si>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</si>
  <si>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</si>
  <si>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</si>
  <si>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</si>
  <si>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</si>
  <si>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UKPN-LPN</t>
  </si>
  <si>
    <t>UKPN-SPN</t>
  </si>
  <si>
    <t>SPD</t>
  </si>
  <si>
    <t>SSEH</t>
  </si>
  <si>
    <t>NGED-WMID</t>
  </si>
  <si>
    <t>NGED-SWALES</t>
  </si>
  <si>
    <t>NGED-SWEST</t>
  </si>
  <si>
    <t>Cadent-EOE</t>
  </si>
  <si>
    <t>Cadent-London</t>
  </si>
  <si>
    <t>Cadent-WM</t>
  </si>
  <si>
    <t>Cadent-NW</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</si>
  <si>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</si>
  <si>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</si>
  <si>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</si>
  <si>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</si>
  <si>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</si>
  <si>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</si>
  <si>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</si>
  <si>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</si>
  <si>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</si>
  <si>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</si>
  <si>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</si>
  <si>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</si>
  <si>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Time to connect ODI</t>
  </si>
  <si>
    <t>Broad Measure of Customer Service ODI</t>
  </si>
  <si>
    <t>Interruptions incentive scheme ODI</t>
  </si>
  <si>
    <t>Major connections ODI</t>
  </si>
  <si>
    <t>Consumer Vulnerability ODI</t>
  </si>
  <si>
    <t>Distribution System Operator ODI</t>
  </si>
  <si>
    <t>Dig, Fix and Go ODI (ENWL only)</t>
  </si>
  <si>
    <t>Collaborative Streetworks ODI (EPN, LPN and SPN only)</t>
  </si>
  <si>
    <t>Customer Satisfaction Survey ODI - (SpC 4.2)</t>
  </si>
  <si>
    <t>Complaints metric ODI - (SpC 4.3)</t>
  </si>
  <si>
    <t>Unplanned Interruption Mean Duration ODI [NGN, SGN and WWU] - (SpC 4.5)</t>
  </si>
  <si>
    <t>`</t>
  </si>
  <si>
    <t>Unplanned Interruption Mean Duration ODI [Cadent only]- (SpC 4.6)</t>
  </si>
  <si>
    <t>Shrinkage Management ODI- (SpC 4.4)</t>
  </si>
  <si>
    <t>Collaborative streetworks ODI [Cadent Lon &amp; EoE, SGN So only]- (SpC 4.7)</t>
  </si>
  <si>
    <t>Customer satisfaction survey ODI- (SpC 4.2)</t>
  </si>
  <si>
    <t>Environmental scorecard ODI- (SpC 4.3)</t>
  </si>
  <si>
    <t>Energy not supplied ODI - (SpC 4.2)</t>
  </si>
  <si>
    <t>Reporting &amp; Incentive Arrangements (ESORIt) - SpC 4.3</t>
  </si>
  <si>
    <t>Insulation And Interruption Gas emissions ODI - (SpC 4.3)</t>
  </si>
  <si>
    <t>Timely Connections ODI - (SpC 4.4)</t>
  </si>
  <si>
    <t>Quality of connections satisfaction survey ODI - (SpC 4.5)</t>
  </si>
  <si>
    <t>SO-TO Optimisation ODI - (SpC 4.7)</t>
  </si>
  <si>
    <t>Environmental scorecard ODI - (SpC 4.6)</t>
  </si>
  <si>
    <t>Other Revenue Allowances (ORA) - Innovation and Incentives only, for each sector used to populate R4</t>
  </si>
  <si>
    <t>Input for R4 - Other Revenue Allowances</t>
  </si>
  <si>
    <t>Network Innovation Allowance</t>
  </si>
  <si>
    <t>Carry-over Network Innovation Allowance</t>
  </si>
  <si>
    <t>RIIO-2 network innovation allowance  - (SpC 5.2)</t>
  </si>
  <si>
    <t>Carry-over Network Innovation Allowance - (SpC 5.3)</t>
  </si>
  <si>
    <t>Network Innovation Allowance- (SpC 5.2)</t>
  </si>
  <si>
    <t>Carry Over RIIO-1 Network Innovation Allowance- (SpC 5.3)</t>
  </si>
  <si>
    <t>Strategic Innovation Fund- (SpC 5.7)</t>
  </si>
  <si>
    <t>Constraint management incentive revenue- (SpC 5.5)</t>
  </si>
  <si>
    <t>Residual balancing incentive - (SpC 5.6)</t>
  </si>
  <si>
    <t>Quality of demand forecasting incentive - (SpC 5.6)</t>
  </si>
  <si>
    <t>Greenhouse gas emissions incentive- (SpC 5.6)</t>
  </si>
  <si>
    <t>Maintenance incentive - (SpC 5.6)</t>
  </si>
  <si>
    <t>Carry Over RIIO-1 Network Innovation Allowance - (SpC 5.3)</t>
  </si>
  <si>
    <t>Constraint management incentive revenue - (SpC 5.5)</t>
  </si>
  <si>
    <t>Greenhouse gas emissions incentive - (SpC 5.6)</t>
  </si>
  <si>
    <t>RIIO-2 network innovation allowance - (SpC 4.6)</t>
  </si>
  <si>
    <t>RIIO-2 network innovation allowance - (SpC 5.2)</t>
  </si>
  <si>
    <t>Carry-over Network Innovation Allowance - (SpC 4.7)</t>
  </si>
  <si>
    <t>Data validation lists for F3-F6 debt tabs</t>
  </si>
  <si>
    <t>sector</t>
  </si>
  <si>
    <t>licensee</t>
  </si>
  <si>
    <t>category</t>
  </si>
  <si>
    <t>Rank</t>
  </si>
  <si>
    <t>Type</t>
  </si>
  <si>
    <t>Maturity Type</t>
  </si>
  <si>
    <t>Core Debt/ Liquidity</t>
  </si>
  <si>
    <t>identifier</t>
  </si>
  <si>
    <t>Pricing Date</t>
  </si>
  <si>
    <t>issue_date</t>
  </si>
  <si>
    <t>maturity_date</t>
  </si>
  <si>
    <t>Early repayment date</t>
  </si>
  <si>
    <t>1st Call Date</t>
  </si>
  <si>
    <t>Currency</t>
  </si>
  <si>
    <t>Amount Issued on Issue Date/ Max loan amount</t>
  </si>
  <si>
    <t>Current Amount Outstanding</t>
  </si>
  <si>
    <t>Amount Issued on Issue Date/ Max loan amount_GBP equiv</t>
  </si>
  <si>
    <t>Current Amount Outstanding_GBP equiv</t>
  </si>
  <si>
    <t>Amount for Use</t>
  </si>
  <si>
    <t>Coupon/ Margin</t>
  </si>
  <si>
    <t>Issue Price</t>
  </si>
  <si>
    <t>Yield to Maturity at Issue Date</t>
  </si>
  <si>
    <t>Rate for use</t>
  </si>
  <si>
    <t>floating_ref_rate</t>
  </si>
  <si>
    <t>inflation_ref_rate</t>
  </si>
  <si>
    <t>Inflation_lag</t>
  </si>
  <si>
    <t>Inflation_Base_Index</t>
  </si>
  <si>
    <t>Commitment Fee</t>
  </si>
  <si>
    <t>LT Issue Rating at Issue Date (S&amp;P/Moodys/Fitch)</t>
  </si>
  <si>
    <t>Current LT Issue Rating (S&amp;P/Moodys/Fitch)</t>
  </si>
  <si>
    <t>Counterparty</t>
  </si>
  <si>
    <t>Transaction expenses</t>
  </si>
  <si>
    <t>Description</t>
  </si>
  <si>
    <t>If amortising, profile submitted?</t>
  </si>
  <si>
    <t>Split flag</t>
  </si>
  <si>
    <t>Bond</t>
  </si>
  <si>
    <t>Senior</t>
  </si>
  <si>
    <t>Fixed</t>
  </si>
  <si>
    <t>Bullet</t>
  </si>
  <si>
    <t>Core debt</t>
  </si>
  <si>
    <t>GBP</t>
  </si>
  <si>
    <t>LIBOR 1 Month</t>
  </si>
  <si>
    <t>RPI</t>
  </si>
  <si>
    <t>Y</t>
  </si>
  <si>
    <t>SGN Scot</t>
  </si>
  <si>
    <t>External Loan</t>
  </si>
  <si>
    <t>Subordinated</t>
  </si>
  <si>
    <t>Floating</t>
  </si>
  <si>
    <t>Bullet 3m par call</t>
  </si>
  <si>
    <t>Liquidity</t>
  </si>
  <si>
    <t>USD</t>
  </si>
  <si>
    <t>LIBOR 3 Month</t>
  </si>
  <si>
    <t>CPI</t>
  </si>
  <si>
    <t>N</t>
  </si>
  <si>
    <t>SGN South</t>
  </si>
  <si>
    <t>Private Placement</t>
  </si>
  <si>
    <t>Class A</t>
  </si>
  <si>
    <t>Inflation Linked</t>
  </si>
  <si>
    <t>Amortising</t>
  </si>
  <si>
    <t>CAD</t>
  </si>
  <si>
    <t>LIBOR 6 Month</t>
  </si>
  <si>
    <t>CPIH</t>
  </si>
  <si>
    <t>N/A</t>
  </si>
  <si>
    <t>Cadent</t>
  </si>
  <si>
    <t>Group company loan (licensee lender)</t>
  </si>
  <si>
    <t>Class B</t>
  </si>
  <si>
    <t>Revolving</t>
  </si>
  <si>
    <t>EUR</t>
  </si>
  <si>
    <t>LIBOR 12 Month</t>
  </si>
  <si>
    <t>Group company loan (licensee borrower)</t>
  </si>
  <si>
    <t>Super Senior</t>
  </si>
  <si>
    <t>Callable</t>
  </si>
  <si>
    <t>NOK</t>
  </si>
  <si>
    <t>SONIA</t>
  </si>
  <si>
    <t>Group Loan from Finco back to back with finco bond issue</t>
  </si>
  <si>
    <t>Other</t>
  </si>
  <si>
    <t>AUD</t>
  </si>
  <si>
    <t>1 day GBP SONIA</t>
  </si>
  <si>
    <t>Swap Pay Leg</t>
  </si>
  <si>
    <t>HKD</t>
  </si>
  <si>
    <t>NGET</t>
  </si>
  <si>
    <t>Swap Receive Leg</t>
  </si>
  <si>
    <t>JPY</t>
  </si>
  <si>
    <t>NGGT</t>
  </si>
  <si>
    <t>Swap pay leg – finco back to back</t>
  </si>
  <si>
    <t>Swap receive leg – finco back to back</t>
  </si>
  <si>
    <t>UKPN EPN</t>
  </si>
  <si>
    <t>UKPN LPN</t>
  </si>
  <si>
    <t>UKPN SPN</t>
  </si>
  <si>
    <t>NGED EMID</t>
  </si>
  <si>
    <t>NGED SWALES</t>
  </si>
  <si>
    <t>NGED SWEST</t>
  </si>
  <si>
    <t>NGED WMID</t>
  </si>
  <si>
    <t>Example</t>
  </si>
  <si>
    <t>Only data validation options to be input above this line</t>
  </si>
  <si>
    <t>Deadband levels for Tax Reconciliation materiality check</t>
  </si>
  <si>
    <t>Table1</t>
  </si>
  <si>
    <t>Deadband values from PCFM - for information purposes (18/19 prices, ED 20/21 prices)</t>
  </si>
  <si>
    <t>Table 2</t>
  </si>
  <si>
    <t>Grossed-up deadband values in Nominal terms - for use in R8a (Rows 46-93)</t>
  </si>
  <si>
    <t>Table3</t>
  </si>
  <si>
    <t>Deadband values from PCFM in Nominal terms - for use in R8a for Corporation Tax Charge (Row 95)</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</si>
  <si>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</si>
  <si>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</si>
  <si>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</si>
  <si>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</si>
  <si>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</si>
  <si>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</si>
  <si>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</si>
  <si>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</si>
  <si>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</si>
  <si>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</si>
  <si>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</si>
  <si>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</si>
  <si>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</si>
  <si>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</si>
  <si>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</si>
  <si>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</si>
  <si>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</si>
  <si>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</si>
  <si>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</si>
  <si>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</si>
  <si>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</si>
  <si>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</si>
  <si>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</si>
  <si>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</si>
  <si>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</si>
  <si>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</si>
  <si>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</si>
  <si>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</si>
  <si>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</si>
  <si>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</si>
  <si>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F3 - Fixed Rate Debt</t>
  </si>
  <si>
    <t>F4 - Floating Rate Debt</t>
  </si>
  <si>
    <t>F5 - Inflation Linked Debt</t>
  </si>
  <si>
    <t>F6 - Debt Dataset</t>
  </si>
  <si>
    <t>I1 - Universal Data</t>
  </si>
  <si>
    <t>I2 - Monthly Inflation</t>
  </si>
  <si>
    <t>Change log</t>
  </si>
  <si>
    <t>Version</t>
  </si>
  <si>
    <t>Table Reference</t>
  </si>
  <si>
    <t>Changes made to RFPR template</t>
  </si>
  <si>
    <t>Raised By</t>
  </si>
  <si>
    <t>V2.0</t>
  </si>
  <si>
    <t>R2 - row 24 (RRt)</t>
  </si>
  <si>
    <t>Changed the description to add "per latest PCFM" for more clarity. Guidance document has also been amended.</t>
  </si>
  <si>
    <t>Ofgem</t>
  </si>
  <si>
    <t>R8 - Row 21</t>
  </si>
  <si>
    <t>Corrected cell references in formula</t>
  </si>
  <si>
    <t>R3 - row 116, 121, 133, 142</t>
  </si>
  <si>
    <t>Changed the description to '[Input description, add additional rows as required]'</t>
  </si>
  <si>
    <t>R3 - Rows 36 and 37</t>
  </si>
  <si>
    <t xml:space="preserve">Copied and rolled-over D36:D37 formula into future years </t>
  </si>
  <si>
    <t xml:space="preserve">R1 - J22:K28 and J49:K55 </t>
  </si>
  <si>
    <t>Corrected cell references in formula for 'cumulative' and RIIO-2 period'</t>
  </si>
  <si>
    <t>Row 103 formula corrected (was sum now difference)</t>
  </si>
  <si>
    <t>ESO/NGGT(TO)/NGGT(SO)/NGET(TO)</t>
  </si>
  <si>
    <t>R3 - Row 194 &amp;  196</t>
  </si>
  <si>
    <t>Added formula/ corrected cell references in formula</t>
  </si>
  <si>
    <t>ESO/NGGT(TO)/SPT/NGET</t>
  </si>
  <si>
    <t>R1 row 76</t>
  </si>
  <si>
    <t>Formula in J75:K75 dragged down to populate row 76 which was blank.</t>
  </si>
  <si>
    <t>NGGT(SO)</t>
  </si>
  <si>
    <t>R8 Row 21</t>
  </si>
  <si>
    <t>Included if function because top half R8 only completed for actuals on a T+1 basis; therefore if forecast, amount should be zero</t>
  </si>
  <si>
    <t>R3</t>
  </si>
  <si>
    <t>Formula in row 198 amended to compare to row 196 not 194</t>
  </si>
  <si>
    <t>WWU/SPT</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</si>
  <si>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</si>
  <si>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5 rows have been added for row 25-29 for the Enduring Value adjustments to Totex performance</t>
  </si>
  <si>
    <t>7 rows have been added for row 139-145 for the opex reconciling adjustments.</t>
  </si>
  <si>
    <t>R9</t>
  </si>
  <si>
    <t>Cells formatted to 3 decimal places  (rows 27 to 65)</t>
  </si>
  <si>
    <t>R8- Tax, rows 64 and 66</t>
  </si>
  <si>
    <t xml:space="preserve">Corrected to add a minus sign in the beginning of the formula </t>
  </si>
  <si>
    <t>Included SIF celll reference in formula</t>
  </si>
  <si>
    <t>F3, F4, F5, F6, I1, I2</t>
  </si>
  <si>
    <t>10/02/2023: Added these tabs into the template. These have been copied in from the propoesd modification to the RFPR published on 1 April 2022. Only changes to formatting and appearance have been made.</t>
  </si>
  <si>
    <t>R5a and R6a</t>
  </si>
  <si>
    <t>10/02/2023: Replaced these tabs with the versions from the proposed modification to the RFPR published on 1 April 2022.  Only changes to formatting and appearance have been made.</t>
  </si>
  <si>
    <t>R5 and R6</t>
  </si>
  <si>
    <t>10/02/2023: Links to R5a and R6a refreshed.</t>
  </si>
  <si>
    <t>Data</t>
  </si>
  <si>
    <r>
      <t xml:space="preserve">10/02/2023: Old R5a &amp; R6a validation lines in </t>
    </r>
    <r>
      <rPr>
        <i/>
        <sz val="10"/>
        <color theme="1"/>
        <rFont val="Verdana"/>
        <family val="2"/>
      </rPr>
      <t xml:space="preserve">Data </t>
    </r>
    <r>
      <rPr>
        <sz val="10"/>
        <color theme="1"/>
        <rFont val="Verdana"/>
        <family val="2"/>
      </rPr>
      <t xml:space="preserve">rows 264-336 deleted and replaced with new validation lines used in the </t>
    </r>
    <r>
      <rPr>
        <i/>
        <sz val="10"/>
        <color theme="1"/>
        <rFont val="Verdana"/>
        <family val="2"/>
      </rPr>
      <t>F6</t>
    </r>
    <r>
      <rPr>
        <sz val="10"/>
        <color theme="1"/>
        <rFont val="Verdana"/>
        <family val="2"/>
      </rPr>
      <t xml:space="preserve"> tab.</t>
    </r>
  </si>
  <si>
    <t>R8, rows 21</t>
  </si>
  <si>
    <t xml:space="preserve">Formula corrected. Logic was not inflating input in 2018/19 prices to nominal values and 2022 tax rate was used for all years. </t>
  </si>
  <si>
    <t>R8, row 34</t>
  </si>
  <si>
    <t xml:space="preserve">Formula corrected. </t>
  </si>
  <si>
    <t>R8a - Cell D16</t>
  </si>
  <si>
    <t>Formula corrected</t>
  </si>
  <si>
    <t>NG</t>
  </si>
  <si>
    <t>R2</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</si>
  <si>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next section i.e. rows 83-90.</t>
  </si>
  <si>
    <t>NGGT(SO), NGET, NGN, NGT</t>
  </si>
  <si>
    <t>Amended formula to include "Opening RAV (after transfers)" i.e. row 17 instead of row 15</t>
  </si>
  <si>
    <t xml:space="preserve">Data tab, R4 </t>
  </si>
  <si>
    <t>Amended to add PCFM acronyms/ references and SpCs where applicable</t>
  </si>
  <si>
    <t>NGT</t>
  </si>
  <si>
    <t>Data tab</t>
  </si>
  <si>
    <t>Cell C10, added deadband threshold for sheet R8a, populated from rows 303-331</t>
  </si>
  <si>
    <t xml:space="preserve">Added tables for deadband values per PCFM - rows 303-331 (presentational and grossed-up) in Data tab </t>
  </si>
  <si>
    <t xml:space="preserve">R8a </t>
  </si>
  <si>
    <t>Coulmn M has been inserted for materiality checks (linkage with cell C10 on Data tab)</t>
  </si>
  <si>
    <t>R5-Financing sheet</t>
  </si>
  <si>
    <t>Changed labeling on rows 38,40,44,66,68,70 and 77. Also added a new descriptor on row 81</t>
  </si>
  <si>
    <t>R1 - RORE</t>
  </si>
  <si>
    <t>Updated the formula in cell D84 to =IFERROR('R5 - Financing'!D85,0) and dragged across the remaining years.</t>
  </si>
  <si>
    <t>NGET, NGN</t>
  </si>
  <si>
    <t xml:space="preserve">Updated the formula in cell D85 to =IFERROR('R5 - Financing'!D87,0) and dragged across the remaining years.
</t>
  </si>
  <si>
    <t xml:space="preserve">Updated the formula in cell D86 to =IFERROR('R8 - Tax'!E60,0) and dragged across the remaining years.
</t>
  </si>
  <si>
    <t xml:space="preserve">Updated the formula in cell D87 to =IFERROR('R8 - Tax'!E62,0) and dragged across the remaining years.
</t>
  </si>
  <si>
    <t>Corrected the formula to refer to column H instead of column I with the exception of row 16 which is correctly comparing CT600 against the gross calculated tax allowance.</t>
  </si>
  <si>
    <t>Data tab M304-S332</t>
  </si>
  <si>
    <t>Gross-up calculation for deadband values per PCFM - rows 303-331 (presentational and grossed-up) in Data tab and created linkage with cell C10</t>
  </si>
  <si>
    <t>Data M304-S332</t>
  </si>
  <si>
    <t>Changed values to nominal and grossed up for tax on tax to feed into materiality checks in rows 44-93 in R8a</t>
  </si>
  <si>
    <t>SGN, WWU</t>
  </si>
  <si>
    <t>Data M339- M367</t>
  </si>
  <si>
    <t>Incorporated a new table to change values to nominal that feed into materiality check in row 95 (tax charge)</t>
  </si>
  <si>
    <t>Data tab - Cell C10</t>
  </si>
  <si>
    <t>Added to lookup deadband threshold values from Table 2 (M04-S332) for materiality checks for use in R8a (Rows 44-93)</t>
  </si>
  <si>
    <t>Data tab - Cell C11</t>
  </si>
  <si>
    <t>Added to lookup deadband threshold values from Table 3 (M04-S332) for materiality checks for use in R8a - Tax charge (Row95)</t>
  </si>
  <si>
    <t>Data D273-D274</t>
  </si>
  <si>
    <t>Added in Data tab “Swap pay leg – finco back to back” in D273, and “Swap receive leg – finco back to back” in D274.</t>
  </si>
  <si>
    <t>R8a</t>
  </si>
  <si>
    <t xml:space="preserve">Previous version of Col I and J deleted </t>
  </si>
  <si>
    <t>Deleted materiality checks from row 31 and above as it's not mandatory for licensees to explain those differences</t>
  </si>
  <si>
    <t>Corrected formula in col L to look up correct cell references</t>
  </si>
  <si>
    <t>SPEN, ESO, NGET</t>
  </si>
  <si>
    <t>Removed the word 'turnover' in cells A35, A38 and A41</t>
  </si>
  <si>
    <t>ESO, NGET</t>
  </si>
  <si>
    <t>R8</t>
  </si>
  <si>
    <t xml:space="preserve">Changed the label in cell B11 and description in cell J11 </t>
  </si>
  <si>
    <t>SPEN, ESO</t>
  </si>
  <si>
    <t>Labels are now fomula driven in cells B11 and B45 to include "repex" term only referring to GD2</t>
  </si>
  <si>
    <t>SPEN</t>
  </si>
  <si>
    <t>R8 - Cell J11</t>
  </si>
  <si>
    <t>Comment amended to - "R8 row 11 must match with worksheet R8a row 95 minus regulatory adjustments."</t>
  </si>
  <si>
    <t>R4</t>
  </si>
  <si>
    <t>Added formulae/ logic to generate cumulative values in col I and J</t>
  </si>
  <si>
    <t>v2.0</t>
  </si>
  <si>
    <t>R6</t>
  </si>
  <si>
    <t>15/06/2023: Added in new section for reconciliation to statutory accounts:
R6 cell B21: row label changed from "Total Debt per Statutory Accounts" to "Total Modelled Debt"
R6 add in thirteen new rows below row 46 ("Closing regulatory net debt including forecast new debt/refinancing". These rows are headed "Conversion from Regulatory (RIIO-2) Definition of Net Debt to Statutory Net Debt"</t>
  </si>
  <si>
    <t>R5a</t>
  </si>
  <si>
    <t>15/06/2023: Added in additional overwrite lines for Debt Interest Expense
R5a add in five new rows below row 53. This adds in five new "Other adjustment (Overwrite)" lines above "Sub Total: "Debt Interest Expense"
R5a row 59 "Sub Total: "Debt Interest Expense" formula amended to incorporate the five new rows. In Column M, changed from "=SUM(M40:M53)" to "=SUM(M40:M58)" and pasted across the row.</t>
  </si>
  <si>
    <t>R1-R10, F3-F6, I1-I2</t>
  </si>
  <si>
    <t xml:space="preserve">Non-input cells have been password protected to prevent any over-writing </t>
  </si>
  <si>
    <t>unprotected sheet/ unlocked all cells</t>
  </si>
  <si>
    <t>R8a - Cell G16</t>
  </si>
  <si>
    <t>modified the label to correct PCFM reference for ESO</t>
  </si>
  <si>
    <t>Ofgem, ESO</t>
  </si>
  <si>
    <t>corrected error in calculation - modified the formula to exclude H90 (Profits used to offset outstanding losses - excluded from Corporation Tax)</t>
  </si>
  <si>
    <t xml:space="preserve">R6a </t>
  </si>
  <si>
    <t>Unlocked yellow input cells in rows 65-76</t>
  </si>
  <si>
    <t>Ofgem, NGET</t>
  </si>
  <si>
    <t>Corrected formula in row 59</t>
  </si>
  <si>
    <t>Monhly Inflation tab</t>
  </si>
  <si>
    <t>Updated actuals through June 2023</t>
  </si>
  <si>
    <t>Updated "I1 - Universal Data" cells P15:Q16 with the latest inflation data per PCFM for use in AIP (with Actuals through June 2023)</t>
  </si>
  <si>
    <t>Updated "I1 - Universal Data" cells E31:V35 with the latest LIBOR and SONIA rates as of 30 June 2023</t>
  </si>
  <si>
    <t>Updated "I2 - Monthly Inflation" cells C294:D296 with latest inflation data per PCFM for use in AIP  (with Actuals through June 2023)</t>
  </si>
  <si>
    <t>Updated rows C17:J17,C18:J18 and C20:J20 with latest inflation data per PCFM for use in AIP (with actuals through 30 June 2023)</t>
  </si>
  <si>
    <t>v3.0</t>
  </si>
  <si>
    <t>RFPR cover tab</t>
  </si>
  <si>
    <t>Inserted formula in cell C6 for RIIO-2 start date</t>
  </si>
  <si>
    <t xml:space="preserve">Data tab </t>
  </si>
  <si>
    <t>Updated ED sector data for cost of debt, cost of equity, sharing factor, gearing, BPI,ODIs, ORAs &amp; change of WPD name to NGED</t>
  </si>
  <si>
    <t>Updated Combined RPI-CPIH price index on row 17-21 with the latest figures as reflected in the last published PCFM on 30/01/2024</t>
  </si>
  <si>
    <t>Updated Allowed cost of debt from row 41-46 with the latest figures as reflected in the last published PCFM on 30/01/2024</t>
  </si>
  <si>
    <t>Updated Allowed cost of equity from row 51-54 with the latest figures as reflected in the last published PCFM on 30/01/2024</t>
  </si>
  <si>
    <t>R4 - Incentives and other Rev</t>
  </si>
  <si>
    <t>Reconfigured cell D12-H12 to derive BPI figures from the Data tab</t>
  </si>
  <si>
    <t>v3.1</t>
  </si>
  <si>
    <t>R8a - cell D16</t>
  </si>
  <si>
    <t>Corrected - Hardcoded value changed to formula - IFERROR(INDEX('R2 - Rec to Revenue and Profit'!$E$58:$I$58,MATCH('R8a - Tax Reconciliation'!$B$6,'R2 - Rec to Revenue and Profit'!$E$6:$I$6)),0)</t>
  </si>
  <si>
    <t>Ofgem/ NGET</t>
  </si>
  <si>
    <t>I1 - Universal data, cell A9</t>
  </si>
  <si>
    <t>Corrected  text in A9 to "Pricebase Year"</t>
  </si>
  <si>
    <t xml:space="preserve">R3 - C163 </t>
  </si>
  <si>
    <t>Linked price base to cell C9 from Data tab</t>
  </si>
  <si>
    <t>Ofgem/ NGED</t>
  </si>
  <si>
    <t>Data tab  - Rows 310-373</t>
  </si>
  <si>
    <t>Reflected name change from WPD to NGED where applicable</t>
  </si>
  <si>
    <t>Data tab - ED2 combined RPI-CPIH combined price index  (rows 24-29)</t>
  </si>
  <si>
    <t>The new table has been added to include ED2 PIt</t>
  </si>
  <si>
    <t xml:space="preserve">Data tab - Corp Tax line </t>
  </si>
  <si>
    <t>Shifted to row 13</t>
  </si>
  <si>
    <t>Amended formulae for text in cell c13 and c15 and inserted a row for FPt (row 18) to accommodate changes related to ED sector</t>
  </si>
  <si>
    <t>Included formulae in cell B15</t>
  </si>
  <si>
    <t xml:space="preserve">R7 - RAV, cell F30 </t>
  </si>
  <si>
    <t>Changed the logic to add linkages to ED2 table on data tab (rows 24-29)</t>
  </si>
  <si>
    <t>Data tab - rows 132-139</t>
  </si>
  <si>
    <t>Changed to incorporate incentives to feed in R4 sheet for NGGT(TO+SO)</t>
  </si>
  <si>
    <t>I1 Universal data tab</t>
  </si>
  <si>
    <t>Deleted rows 25-28 as these were GD&amp;T only and did not have any inter-linkages</t>
  </si>
  <si>
    <t xml:space="preserve">Deleted column I as t's redundant </t>
  </si>
  <si>
    <t>v3.2</t>
  </si>
  <si>
    <t>Descriptions in cells B163 &amp; B164 and formula in cells D165:H165 adjusted to accommodate requirements related to ED sector</t>
  </si>
  <si>
    <t>R8a - row 30</t>
  </si>
  <si>
    <t>Inserted description "Insert rows as required"</t>
  </si>
  <si>
    <t>WWU/ Ofgem</t>
  </si>
  <si>
    <t>R5 - row 31</t>
  </si>
  <si>
    <t>Renamed to add text "Regulatory" to row 31 - should read as "Regulatory Net Interest including forecast new financing/refinancing costs"</t>
  </si>
  <si>
    <t>R8a - row 93 and 95</t>
  </si>
  <si>
    <t>Renamed the rows to include (pre-group relief) on rows 93 and 95.</t>
  </si>
  <si>
    <t>NGET/WWU</t>
  </si>
  <si>
    <t>R8a - row 93</t>
  </si>
  <si>
    <t>Amended the formula in cell J93 to IF(E$11&lt;&gt;"",IF(OR(B$11="No Filing Date","Enter Filing Date",E$11&lt;D$11),"Error in Filing Date",IF('R8a - Tax Reconciliation'!B$11="Original Filing",D93-H93,E93-H93)),IF(OR(B$11="No Filing Date","Enter Filing Date"),"Error in Filing Date",IF('R8a - Tax Reconciliation'!B$11="Original Filing",D93-H93,E93-H93)))</t>
  </si>
  <si>
    <t>RFPR Template v3.2</t>
  </si>
  <si>
    <t xml:space="preserve">Version unprotected for future circulation
</t>
  </si>
  <si>
    <t>NGT/NPG/Ofgem</t>
  </si>
  <si>
    <t>R5 – Financing (E30)</t>
  </si>
  <si>
    <t>Changed the greyed 'RY2025 Forecast new financing/refinancing Net Interest costs' to a yellow input cell</t>
  </si>
  <si>
    <t>UKPN</t>
  </si>
  <si>
    <t>R7 – RAV (row 32)</t>
  </si>
  <si>
    <t>Updated the formula in cell F32 tab R7 to ''=F24*Data!H36'' i.e, Closing RAV 2020/21 prices x Combined real to nominal prices conversion factor at 2024</t>
  </si>
  <si>
    <t>Data - Roes 19-21, 28-29</t>
  </si>
  <si>
    <t>Updated the values per the latest inflation data circulated to all companies in April 2024</t>
  </si>
  <si>
    <t>NPG</t>
  </si>
  <si>
    <t>R2 – row 15</t>
  </si>
  <si>
    <t>Inserted text in cell B14 to state that "not applicable to the ED sector"</t>
  </si>
  <si>
    <t>Updated cell B174 to NGET (TO) instead of NGET (SO) to pull through to the R4 tab correctly.</t>
  </si>
  <si>
    <t>NGET/NGED</t>
  </si>
  <si>
    <t xml:space="preserve">"Updated the following formula:
B73: ='R4 - Incentives and Other Rev'!B19
D73: ='R4 - Incentives and Other Rev'!D19
E73: ='R4 - Incentives and Other Rev'!E19
F73: ='R4 - Incentives and Other Rev'!F19
G73: ='R4 - Incentives and Other Rev'!G19
H73: ='R4 - Incentives and Other Rev'!H19"
</t>
  </si>
  <si>
    <t>NGET/NGED/ UKPN</t>
  </si>
  <si>
    <t>RFPR template - Data worksheet</t>
  </si>
  <si>
    <t>Updated the formula in cell E34 to =IF(SectorCov="ED2",E28/INDEX($C$28:$N$28,MATCH($E$27,$C$27:$N$27,0)),E19/INDEX($C$19:$N$19,MATCH($C$18,$C$18:$N$18,0)))</t>
  </si>
  <si>
    <t>Changed text in cell F6 to "check £m"  in place of "Materiality £m"</t>
  </si>
  <si>
    <t>NGT/ Cadent</t>
  </si>
  <si>
    <t>I1 - Universal data</t>
  </si>
  <si>
    <t xml:space="preserve">Data updated in rows 15 and 16 per latest March 2024 OBR release </t>
  </si>
  <si>
    <t xml:space="preserve">Changed/ added new label on rows 15, 24 i.e. "Price Indices"  and on row 31 - "Price conversion factrors"  </t>
  </si>
  <si>
    <t>Added a note on row 37 regarding the price indices and conversion factors</t>
  </si>
  <si>
    <t>Ofgem/ NPg</t>
  </si>
  <si>
    <t>Interest rates updated E26:V30</t>
  </si>
  <si>
    <t>R6a - Net Debt input, cell D65</t>
  </si>
  <si>
    <t>Spare adjustment slot in the 'Conversion to Regulatory (RIIO-2) Definition of Net Debt' section replaced with "Discounts (premiums) for fixed rate debt"</t>
  </si>
  <si>
    <t>C154 (Commitment Fees) cell colour changed from yellow (input) to white (fixed). New row added below (C155) for any other adjustments. "Total Interest Paid as per cash flow statement" (row 156) amended to include the new row in the SUM formula.</t>
  </si>
  <si>
    <t>R8a - Cell D93, E93</t>
  </si>
  <si>
    <t>Changed the formula in these cells to match H93 = (Max(H81-H90),0)</t>
  </si>
  <si>
    <t>R1 - Return on Regulatory Equity (RoRE)</t>
  </si>
  <si>
    <t>RIIO-2 period</t>
  </si>
  <si>
    <t>RoRE based on Notional Gearing</t>
  </si>
  <si>
    <t>Allowed Equity Return</t>
  </si>
  <si>
    <t>%</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</si>
  <si>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</si>
  <si>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</si>
  <si>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</si>
  <si>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</si>
  <si>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</si>
  <si>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</si>
  <si>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</si>
  <si>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</si>
  <si>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</si>
  <si>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</si>
  <si>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</si>
  <si>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</si>
  <si>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</si>
  <si>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</si>
  <si>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</si>
  <si>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</si>
  <si>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</si>
  <si>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</si>
  <si>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</si>
  <si>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</si>
  <si>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</si>
  <si>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 not applicable to ED sector</t>
  </si>
  <si>
    <t>Legacy Allowed Revenue</t>
  </si>
  <si>
    <t>K Correction Factor</t>
  </si>
  <si>
    <t>Forecasting penalty (ED only)</t>
  </si>
  <si>
    <t>FPt</t>
  </si>
  <si>
    <t>Allowed Network Revenue</t>
  </si>
  <si>
    <t>(Under) / Over recovery</t>
  </si>
  <si>
    <t>Collected Regulated Network Revenue (per latest PCFM)</t>
  </si>
  <si>
    <t>RRt</t>
  </si>
  <si>
    <t>Other Turnover Items</t>
  </si>
  <si>
    <t>Total Other Turnover Items</t>
  </si>
  <si>
    <t>Other adjustments - please list</t>
  </si>
  <si>
    <t>Total other adjustments</t>
  </si>
  <si>
    <t>Reconciled total revenue</t>
  </si>
  <si>
    <t>Turnover as per Profit and Loss (Stat Accounts)</t>
  </si>
  <si>
    <t>Check</t>
  </si>
  <si>
    <t>Reconciliation: Regulated Network Profit to Statutory Accounts</t>
  </si>
  <si>
    <t>Turnover/Revenue as per Statutory Accounts</t>
  </si>
  <si>
    <t xml:space="preserve">Collected Regulated Network Revenue  </t>
  </si>
  <si>
    <t>Operating Costs, Pensions and Other Costs as per Statutory Accounts (excluding depreciation &amp; amortisation)</t>
  </si>
  <si>
    <t>Reconciliation</t>
  </si>
  <si>
    <t>Total Costs not related to the price control Regulated business (excluding depreciation &amp; amortisation)</t>
  </si>
  <si>
    <t>Atypical costs adjustment (reported on cash basis)</t>
  </si>
  <si>
    <t>Total Operating Costs as reported in the latest RRP submission (excluding depreciation &amp; amortisation)</t>
  </si>
  <si>
    <t xml:space="preserve">Difference </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</si>
  <si>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</si>
  <si>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</si>
  <si>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</si>
  <si>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</si>
  <si>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</si>
  <si>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</si>
  <si>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</si>
  <si>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</si>
  <si>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</si>
  <si>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</si>
  <si>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</si>
  <si>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Difference</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</si>
  <si>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</si>
  <si>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</si>
  <si>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</si>
  <si>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</si>
  <si>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</si>
  <si>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</si>
  <si>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</si>
  <si>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</si>
  <si>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</si>
  <si>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</si>
  <si>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</si>
  <si>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</si>
  <si>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</si>
  <si>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</si>
  <si>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</si>
  <si>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</si>
  <si>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</si>
  <si>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</si>
  <si>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</si>
  <si>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</si>
  <si>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</si>
  <si>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</si>
  <si>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</si>
  <si>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 xml:space="preserve">Totex allowance 
  </t>
  </si>
  <si>
    <t>Repex (only applicable for GD2)</t>
  </si>
  <si>
    <t>Latest Repex actuals/forecast</t>
  </si>
  <si>
    <t xml:space="preserve">Totex allowance 
 </t>
  </si>
  <si>
    <t>Totex Summary</t>
  </si>
  <si>
    <t>Total out(under) performance</t>
  </si>
  <si>
    <t>Customer share of performance</t>
  </si>
  <si>
    <t>Total</t>
  </si>
  <si>
    <t>Reconciliation to Totex</t>
  </si>
  <si>
    <t>Total Expenditure Per Accounts</t>
  </si>
  <si>
    <t>Capex Incurred</t>
  </si>
  <si>
    <t>Other Operating Expenses (Opex)</t>
  </si>
  <si>
    <t>Opex Incurred (excluding Depreciation &amp; Amortisation)</t>
  </si>
  <si>
    <t>Total Expenditure Incurred</t>
  </si>
  <si>
    <t>Reconciling Items to Total Net costs after non-price control allocations</t>
  </si>
  <si>
    <t>Opex Reconciling Adjustments</t>
  </si>
  <si>
    <t>Total Opex adj. (excluding Depreciation &amp; Amortisation)</t>
  </si>
  <si>
    <t>Capex Reconciling Adjustments</t>
  </si>
  <si>
    <t xml:space="preserve">Total </t>
  </si>
  <si>
    <t>Total Reconciling Items</t>
  </si>
  <si>
    <t>Total Net costs after non-price control allocations</t>
  </si>
  <si>
    <t>Total Costs per latest RRP submission(all sectors except ED &amp; ESO)*</t>
  </si>
  <si>
    <t>Total Costs per latest RRP submission (ED &amp; ESO)*</t>
  </si>
  <si>
    <t>Total Costs per latest RRP submission</t>
  </si>
  <si>
    <t>check</t>
  </si>
  <si>
    <t>Reconciling Items to Totex</t>
  </si>
  <si>
    <t>Total reconciling items not recognised in totex</t>
  </si>
  <si>
    <t>Reconciled Totex</t>
  </si>
  <si>
    <t>PCFM/ RRP reported Totex</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</si>
  <si>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</si>
  <si>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</si>
  <si>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</si>
  <si>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</si>
  <si>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</si>
  <si>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</si>
  <si>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</si>
  <si>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</si>
  <si>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NIAt</t>
  </si>
  <si>
    <t>Total NIA Expenditure</t>
  </si>
  <si>
    <t>Unrecoverable Expenditure (eg not conforming to technical requirements)</t>
  </si>
  <si>
    <t>Company Compulsory Contribution (including % contribution funded by licensee)</t>
  </si>
  <si>
    <t>Allowed NIA adjustment</t>
  </si>
  <si>
    <t>Network innovation input for RORE</t>
  </si>
  <si>
    <t>Carry Over RIIO-1 Network Innovation Allowance</t>
  </si>
  <si>
    <t>CNIAt</t>
  </si>
  <si>
    <t>Eligible NIA expenditure and Bid Preparation costs</t>
  </si>
  <si>
    <t>Allowed CNIA adjustment</t>
  </si>
  <si>
    <t>Carry-over Network innovation input for RORE</t>
  </si>
  <si>
    <t>Strategic Innovation Fund</t>
  </si>
  <si>
    <t>SIFt</t>
  </si>
  <si>
    <t>SIF Funding</t>
  </si>
  <si>
    <t>SIF Funding Return (Disallowed Expenditure only)</t>
  </si>
  <si>
    <t>Allowed SIF adjustment</t>
  </si>
  <si>
    <t>Strategic innovation input for RORE</t>
  </si>
  <si>
    <t xml:space="preserve">Incentives </t>
  </si>
  <si>
    <t>Actuals may be updated once all incentives are determined - 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</si>
  <si>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</si>
  <si>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</si>
  <si>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</si>
  <si>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</si>
  <si>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Regulatory Net Interest including forecast new financing/refinancing costs</t>
  </si>
  <si>
    <t>External Net Interest</t>
  </si>
  <si>
    <t>Intra-company Net Interest</t>
  </si>
  <si>
    <t>Memo: Net interest (RIIO-2) Definition that relates to non-cash principal inflation accretion on bonds and loans</t>
  </si>
  <si>
    <t>Inflation component of nominal finance cost</t>
  </si>
  <si>
    <t xml:space="preserve">In-period real finance cost (reg terms) at actual gearing </t>
  </si>
  <si>
    <t>Combined RPI-CPIH real to nominal prices conversion</t>
  </si>
  <si>
    <t>Factor</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</si>
  <si>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</si>
  <si>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</si>
  <si>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</si>
  <si>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</si>
  <si>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</si>
  <si>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</si>
  <si>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In-period real finance cost (reg terms) at actual gearing</t>
  </si>
  <si>
    <t>Adjustment to regulatory finance cost relating to variance from notional gearing</t>
  </si>
  <si>
    <t>In-period real finance cost (reg terms) at notional gearing</t>
  </si>
  <si>
    <t>Adjustments to be applied for performance assessment (at notional gearing)</t>
  </si>
  <si>
    <t>Cost of Debt Allowance</t>
  </si>
  <si>
    <t xml:space="preserve">The latest PCFM contains the allowed cost of debt rate (%) for the reporting year. </t>
  </si>
  <si>
    <t>Real Cost of Debt Allowance as per latest published PCFM (prior year AIP)</t>
  </si>
  <si>
    <t>Out(under) performance</t>
  </si>
  <si>
    <t xml:space="preserve">The real cost of debt is compared against the regulatory debt allowance (set in real terms) for an assessment of performance given the inflation protection provided by RAV indexation. </t>
  </si>
  <si>
    <t>Pre-Tax performance</t>
  </si>
  <si>
    <t>Pre-Tax Cost of Debt out(under)performance at actual gearing</t>
  </si>
  <si>
    <t>Pre-Tax Cost of Debt out(under)performance at notional gearing</t>
  </si>
  <si>
    <t>Pre-Tax Impact on out(under) performance relating to deviating from notional levels of gearing</t>
  </si>
  <si>
    <t>Transmission or distribution allocation</t>
  </si>
  <si>
    <t>Opening Cash, short term deposits and overdrafts (per Balance Sheet)</t>
  </si>
  <si>
    <t>Closing Cash, short term deposits and overdrafts (per Balance Sheet)</t>
  </si>
  <si>
    <t>Total Modelled Debt</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</si>
  <si>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</si>
  <si>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</si>
  <si>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</si>
  <si>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</si>
  <si>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</si>
  <si>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</si>
  <si>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Conversion from Regulatory (RIIO-2) Definition of Net Debt to Statutory Net Debt</t>
  </si>
  <si>
    <t>1. Fair value adjustments</t>
  </si>
  <si>
    <t>2. Accrued interest</t>
  </si>
  <si>
    <t>3. Derivatives - other than cross currency swaps</t>
  </si>
  <si>
    <t>4. Balancing value on cross currency swaps</t>
  </si>
  <si>
    <t>5. IFRS 16 Right of Use Lease Liability</t>
  </si>
  <si>
    <t>6. [Insert adjustment as necessary]</t>
  </si>
  <si>
    <t>7. [Insert adjustment as necessary]</t>
  </si>
  <si>
    <t>8. [Insert adjustment as necessary]</t>
  </si>
  <si>
    <t>9. [Insert adjustment as necessary]</t>
  </si>
  <si>
    <t>10. [Insert adjustment as necessary]</t>
  </si>
  <si>
    <t>Net Debt per Statutory Accounts</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</si>
  <si>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</si>
  <si>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</si>
  <si>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</si>
  <si>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</si>
  <si>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</si>
  <si>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</si>
  <si>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</si>
  <si>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</si>
  <si>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</si>
  <si>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</si>
  <si>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</si>
  <si>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</si>
  <si>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</si>
  <si>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</si>
  <si>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</si>
  <si>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</si>
  <si>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</si>
  <si>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</si>
  <si>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</si>
  <si>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</si>
  <si>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</si>
  <si>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</si>
  <si>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</si>
  <si>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</si>
  <si>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</si>
  <si>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</si>
  <si>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</si>
  <si>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</si>
  <si>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</si>
  <si>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</si>
  <si>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</si>
  <si>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</si>
  <si>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</si>
  <si>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</si>
  <si>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</si>
  <si>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</si>
  <si>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</si>
  <si>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</si>
  <si>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</si>
  <si>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</si>
  <si>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</si>
  <si>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Adjustments to remove non-regulated tax liability</t>
  </si>
  <si>
    <t>Tax on non-regulated activities</t>
  </si>
  <si>
    <t>Metering</t>
  </si>
  <si>
    <t>De-minimus and Other activities</t>
  </si>
  <si>
    <t>Excluded services</t>
  </si>
  <si>
    <t>Non-regulated tax</t>
  </si>
  <si>
    <t>Other adjustments</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</si>
  <si>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</si>
  <si>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</si>
  <si>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</si>
  <si>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</si>
  <si>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</si>
  <si>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</si>
  <si>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</si>
  <si>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</si>
  <si>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</si>
  <si>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</si>
  <si>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</si>
  <si>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</si>
  <si>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</si>
  <si>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</si>
  <si>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</si>
  <si>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</si>
  <si>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</si>
  <si>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</si>
  <si>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</si>
  <si>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Tax impact of financing performance (at notional gearing)</t>
  </si>
  <si>
    <t>Tax impact of financing performance relating to deviating from notional levels of gearing</t>
  </si>
  <si>
    <t>Price base</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</si>
  <si>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</si>
  <si>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</si>
  <si>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</si>
  <si>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</si>
  <si>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</si>
  <si>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</si>
  <si>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</si>
  <si>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</si>
  <si>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</si>
  <si>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</si>
  <si>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</si>
  <si>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</si>
  <si>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</si>
  <si>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</si>
  <si>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</si>
  <si>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</si>
  <si>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</si>
  <si>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</si>
  <si>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</si>
  <si>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</si>
  <si>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</si>
  <si>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Performance related Pay</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</si>
  <si>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</si>
  <si>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</si>
  <si>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</si>
  <si>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</si>
  <si>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</si>
  <si>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</si>
  <si>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</si>
  <si>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</si>
  <si>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</si>
  <si>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</si>
  <si>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</si>
  <si>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</si>
  <si>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</si>
  <si>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</si>
  <si>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</si>
  <si>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</si>
  <si>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</si>
  <si>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</si>
  <si>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</si>
  <si>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</si>
  <si>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</si>
  <si>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</si>
  <si>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</si>
  <si>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</si>
  <si>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</si>
  <si>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</si>
  <si>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</si>
  <si>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</si>
  <si>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</si>
  <si>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</si>
  <si>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</si>
  <si>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</si>
  <si>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</si>
  <si>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</si>
  <si>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</si>
  <si>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</si>
  <si>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</si>
  <si>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</si>
  <si>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</si>
  <si>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</si>
  <si>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</si>
  <si>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</si>
  <si>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</si>
  <si>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</si>
  <si>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</si>
  <si>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</si>
  <si>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</si>
  <si>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</si>
  <si>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</si>
  <si>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</si>
  <si>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</si>
  <si>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</si>
  <si>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</si>
  <si>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We have reported the values above consistent with  with UK-adopted international accounting standards (“IAS”) in conformity with the requirements of the Companies Act 2006.
Total remuneration in our employee reporting doesn’t include PMI, Pension or Shares for employees. The pay ratio calculations were done against the CEO total Pay according to sustainability reporting.</t>
  </si>
  <si>
    <t xml:space="preserve">Highest Paid Director (CEO Vicky Kelsall) </t>
  </si>
  <si>
    <t>Other Directors</t>
  </si>
  <si>
    <t>21/22</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</si>
  <si>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</si>
  <si>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</si>
  <si>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</si>
  <si>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</si>
  <si>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</si>
  <si>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</si>
  <si>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</si>
  <si>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</si>
  <si>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Transfer of Assets from Customers</t>
  </si>
  <si>
    <t>[Input description]</t>
  </si>
  <si>
    <t>Other [Input description, add additional rows as required]</t>
  </si>
  <si>
    <t>Emerging Requirements</t>
  </si>
  <si>
    <t>[other Enduring Value adjustment]</t>
  </si>
  <si>
    <t>[Cross Price Control]</t>
  </si>
  <si>
    <t>[Cross Price Control] Timing difference across Price Control</t>
  </si>
  <si>
    <t xml:space="preserve">Under Performance </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</si>
  <si>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</si>
  <si>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</si>
  <si>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</si>
  <si>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</si>
  <si>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</si>
  <si>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</si>
  <si>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Total property, plant and equipment in use</t>
  </si>
  <si>
    <t>Right of use Assets under IFRS 16</t>
  </si>
  <si>
    <t>[Input description, add additional rows as required]</t>
  </si>
  <si>
    <t>Depreciation and Amortisation</t>
  </si>
  <si>
    <t>Other Operational Costs Incurred</t>
  </si>
  <si>
    <t>Other Operting Income</t>
  </si>
  <si>
    <t>LCNF Payments Cost &amp; Payments</t>
  </si>
  <si>
    <t>SPPS Depreciation of Non-System assets</t>
  </si>
  <si>
    <t>Other Operating Income in Reg Accounts</t>
  </si>
  <si>
    <t>Pensions Deficit Repair Payments</t>
  </si>
  <si>
    <t>Net Book value of Disposals in RRP not in top section of F8</t>
  </si>
  <si>
    <t>Provision not included in RRP</t>
  </si>
  <si>
    <t>Other RIG's Adjustments</t>
  </si>
  <si>
    <t xml:space="preserve">Non-System Capex </t>
  </si>
  <si>
    <t>Right of Use Assets</t>
  </si>
  <si>
    <t>Pass through</t>
  </si>
  <si>
    <t>Other Non Activity Based Costs</t>
  </si>
  <si>
    <t>Total Costs outside Price Control</t>
  </si>
  <si>
    <t>Related Party Margin</t>
  </si>
  <si>
    <t>NIA &amp; IFI/LCNF</t>
  </si>
  <si>
    <t>Cash proceeds from sales of assets and scrap</t>
  </si>
  <si>
    <t>Value added services (DRS 8)</t>
  </si>
  <si>
    <t xml:space="preserve">Lead/Lag Repatriation </t>
  </si>
  <si>
    <t>Net Interest Per Statutory Accounts</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</si>
  <si>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</si>
  <si>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</si>
  <si>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</si>
  <si>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</si>
  <si>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</si>
  <si>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</si>
  <si>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</si>
  <si>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</si>
  <si>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IFRS 16 Lease Interest</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</si>
  <si>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</si>
  <si>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</si>
  <si>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</si>
  <si>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</si>
  <si>
    <t>Bonds</t>
  </si>
  <si>
    <t>External Loans</t>
  </si>
  <si>
    <t>Private Placements</t>
  </si>
  <si>
    <t>Group company loans (licensee lender)</t>
  </si>
  <si>
    <t>Group company loans (licensee borrower)</t>
  </si>
  <si>
    <t>Group Loans from Finco back to back with finco bond issue</t>
  </si>
  <si>
    <t>Swaps Pay Leg</t>
  </si>
  <si>
    <t>Swaps Receive Leg</t>
  </si>
  <si>
    <t>Unamortised Issue Costs</t>
  </si>
  <si>
    <t>Fixed asset investments not readily convertible to cash</t>
  </si>
  <si>
    <t>Preference shares</t>
  </si>
  <si>
    <t>Long term loans (Not for benefit of regulated business or distribution in nature)</t>
  </si>
  <si>
    <t>Discounts (premiums) for fixed rate debt</t>
  </si>
  <si>
    <t>1. [Insert adjustment as necessary]</t>
  </si>
  <si>
    <t>2. [Insert adjustment as necessary]</t>
  </si>
  <si>
    <t>3. [Insert adjustment as necessary]</t>
  </si>
  <si>
    <t>4. [Insert adjustment as necessary]</t>
  </si>
  <si>
    <t>5. [Insert adjustment as necessary]</t>
  </si>
  <si>
    <t>11. [Insert adjustment as necessary]</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</si>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</sst>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
    <numFmt numFmtId="353" formatCode="0.000%"/>
  </numFmts>
  <fonts count="275">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8"/>
      <color theme="1"/>
      <name val="Gill Sans MT"/>
      <family val="2"/>
    </font>
    <font>
      <sz val="9"/>
      <color theme="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9"/>
      <color theme="0" tint="-0.34998626667073579"/>
      <name val="CG Omega"/>
      <family val="2"/>
    </font>
    <font>
      <b/>
      <sz val="10"/>
      <name val="Gill Sans MT"/>
      <family val="2"/>
    </font>
    <font>
      <b/>
      <sz val="9"/>
      <color theme="1"/>
      <name val="Verdana"/>
      <family val="2"/>
    </font>
    <font>
      <b/>
      <sz val="10"/>
      <color theme="0" tint="-0.34998626667073579"/>
      <name val="Verdana"/>
      <family val="2"/>
    </font>
    <font>
      <b/>
      <sz val="10"/>
      <color theme="0"/>
      <name val="Verdana"/>
      <family val="2"/>
    </font>
  </fonts>
  <fills count="138">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rgb="FF366092"/>
        <bgColor indexed="64"/>
      </patternFill>
    </fill>
    <fill>
      <patternFill patternType="solid">
        <fgColor theme="2"/>
        <bgColor indexed="64"/>
      </patternFill>
    </fill>
    <fill>
      <patternFill patternType="solid">
        <fgColor theme="5" tint="0.59999389629810485"/>
        <bgColor indexed="64"/>
      </patternFill>
    </fill>
  </fills>
  <borders count="1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style="thin">
        <color theme="0" tint="-0.499984740745262"/>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thin">
        <color theme="0"/>
      </top>
      <bottom style="thin">
        <color theme="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medium">
        <color rgb="FF000000"/>
      </bottom>
      <diagonal/>
    </border>
    <border>
      <left style="thin">
        <color theme="0" tint="-0.499984740745262"/>
      </left>
      <right style="medium">
        <color indexed="64"/>
      </right>
      <top style="medium">
        <color rgb="FF000000"/>
      </top>
      <bottom style="medium">
        <color rgb="FF000000"/>
      </bottom>
      <diagonal/>
    </border>
    <border>
      <left style="medium">
        <color indexed="64"/>
      </left>
      <right style="thin">
        <color theme="0" tint="-0.499984740745262"/>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theme="0" tint="-0.499984740745262"/>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theme="0" tint="-0.499984740745262"/>
      </left>
      <right style="thin">
        <color theme="0" tint="-0.499984740745262"/>
      </right>
      <top style="medium">
        <color indexed="64"/>
      </top>
      <bottom style="medium">
        <color rgb="FF000000"/>
      </bottom>
      <diagonal/>
    </border>
    <border>
      <left style="thin">
        <color theme="0" tint="-0.499984740745262"/>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thin">
        <color theme="0" tint="-0.499984740745262"/>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51704">
    <xf numFmtId="0" fontId="0" fillId="0" borderId="0"/>
    <xf numFmtId="169" fontId="7" fillId="0" borderId="0" applyFont="0" applyFill="0" applyBorder="0" applyAlignment="0" applyProtection="0"/>
    <xf numFmtId="169" fontId="9" fillId="0" borderId="0" applyFont="0" applyFill="0" applyBorder="0" applyAlignment="0" applyProtection="0"/>
    <xf numFmtId="0" fontId="9" fillId="0" borderId="0"/>
    <xf numFmtId="0" fontId="12" fillId="0" borderId="0"/>
    <xf numFmtId="0" fontId="9" fillId="0" borderId="0"/>
    <xf numFmtId="171" fontId="9" fillId="0" borderId="0" applyFont="0" applyFill="0" applyBorder="0" applyAlignment="0" applyProtection="0"/>
    <xf numFmtId="0" fontId="12" fillId="0" borderId="0"/>
    <xf numFmtId="0" fontId="12" fillId="0" borderId="0"/>
    <xf numFmtId="0" fontId="1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4" fillId="12"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5"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9" fontId="10" fillId="0" borderId="0" applyFont="0" applyFill="0" applyBorder="0" applyAlignment="0" applyProtection="0"/>
    <xf numFmtId="4" fontId="16" fillId="18" borderId="3" applyNumberFormat="0" applyProtection="0">
      <alignment vertical="center"/>
    </xf>
    <xf numFmtId="4" fontId="17" fillId="18" borderId="3" applyNumberFormat="0" applyProtection="0">
      <alignment vertical="center"/>
    </xf>
    <xf numFmtId="4" fontId="16" fillId="18" borderId="3" applyNumberFormat="0" applyProtection="0">
      <alignment horizontal="left" vertical="center" indent="1"/>
    </xf>
    <xf numFmtId="0" fontId="16" fillId="18" borderId="3" applyNumberFormat="0" applyProtection="0">
      <alignment horizontal="left" vertical="top" indent="1"/>
    </xf>
    <xf numFmtId="4" fontId="16" fillId="19" borderId="0" applyNumberFormat="0" applyProtection="0">
      <alignment horizontal="left" vertical="center" indent="1"/>
    </xf>
    <xf numFmtId="4" fontId="18" fillId="20" borderId="3" applyNumberFormat="0" applyProtection="0">
      <alignment horizontal="right" vertical="center"/>
    </xf>
    <xf numFmtId="4" fontId="18" fillId="21" borderId="3" applyNumberFormat="0" applyProtection="0">
      <alignment horizontal="right" vertical="center"/>
    </xf>
    <xf numFmtId="4" fontId="18" fillId="22" borderId="3" applyNumberFormat="0" applyProtection="0">
      <alignment horizontal="right" vertical="center"/>
    </xf>
    <xf numFmtId="4" fontId="18" fillId="23" borderId="3" applyNumberFormat="0" applyProtection="0">
      <alignment horizontal="right" vertical="center"/>
    </xf>
    <xf numFmtId="4" fontId="18" fillId="24" borderId="3" applyNumberFormat="0" applyProtection="0">
      <alignment horizontal="right" vertical="center"/>
    </xf>
    <xf numFmtId="4" fontId="18" fillId="25" borderId="3" applyNumberFormat="0" applyProtection="0">
      <alignment horizontal="right" vertical="center"/>
    </xf>
    <xf numFmtId="4" fontId="18" fillId="26" borderId="3" applyNumberFormat="0" applyProtection="0">
      <alignment horizontal="right" vertical="center"/>
    </xf>
    <xf numFmtId="4" fontId="18" fillId="27" borderId="3" applyNumberFormat="0" applyProtection="0">
      <alignment horizontal="right" vertical="center"/>
    </xf>
    <xf numFmtId="4" fontId="18" fillId="28" borderId="3" applyNumberFormat="0" applyProtection="0">
      <alignment horizontal="right" vertical="center"/>
    </xf>
    <xf numFmtId="4" fontId="16" fillId="29" borderId="4" applyNumberFormat="0" applyProtection="0">
      <alignment horizontal="left" vertical="center" indent="1"/>
    </xf>
    <xf numFmtId="4" fontId="18" fillId="30" borderId="0" applyNumberFormat="0" applyProtection="0">
      <alignment horizontal="left" vertical="center" indent="1"/>
    </xf>
    <xf numFmtId="4" fontId="19" fillId="31" borderId="0" applyNumberFormat="0" applyProtection="0">
      <alignment horizontal="left" vertical="center" indent="1"/>
    </xf>
    <xf numFmtId="4" fontId="18" fillId="19" borderId="3" applyNumberFormat="0" applyProtection="0">
      <alignment horizontal="right" vertical="center"/>
    </xf>
    <xf numFmtId="4" fontId="18" fillId="30" borderId="0" applyNumberFormat="0" applyProtection="0">
      <alignment horizontal="left" vertical="center" indent="1"/>
    </xf>
    <xf numFmtId="4" fontId="18" fillId="19" borderId="0"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top" indent="1"/>
    </xf>
    <xf numFmtId="0" fontId="9" fillId="33" borderId="1" applyNumberFormat="0">
      <protection locked="0"/>
    </xf>
    <xf numFmtId="4" fontId="18" fillId="34" borderId="3" applyNumberFormat="0" applyProtection="0">
      <alignment vertical="center"/>
    </xf>
    <xf numFmtId="4" fontId="20" fillId="34" borderId="3" applyNumberFormat="0" applyProtection="0">
      <alignment vertical="center"/>
    </xf>
    <xf numFmtId="4" fontId="18" fillId="34" borderId="3" applyNumberFormat="0" applyProtection="0">
      <alignment horizontal="left" vertical="center" indent="1"/>
    </xf>
    <xf numFmtId="0" fontId="18" fillId="34" borderId="3" applyNumberFormat="0" applyProtection="0">
      <alignment horizontal="left" vertical="top" indent="1"/>
    </xf>
    <xf numFmtId="4" fontId="18" fillId="30" borderId="3" applyNumberFormat="0" applyProtection="0">
      <alignment horizontal="right" vertical="center"/>
    </xf>
    <xf numFmtId="4" fontId="20" fillId="30" borderId="3" applyNumberFormat="0" applyProtection="0">
      <alignment horizontal="right" vertical="center"/>
    </xf>
    <xf numFmtId="4" fontId="18" fillId="19" borderId="3" applyNumberFormat="0" applyProtection="0">
      <alignment horizontal="left" vertical="center" indent="1"/>
    </xf>
    <xf numFmtId="0" fontId="18" fillId="19" borderId="3" applyNumberFormat="0" applyProtection="0">
      <alignment horizontal="left" vertical="top" indent="1"/>
    </xf>
    <xf numFmtId="4" fontId="21" fillId="35" borderId="0" applyNumberFormat="0" applyProtection="0">
      <alignment horizontal="left" vertical="center" indent="1"/>
    </xf>
    <xf numFmtId="4" fontId="22" fillId="30" borderId="3" applyNumberFormat="0" applyProtection="0">
      <alignment horizontal="right" vertical="center"/>
    </xf>
    <xf numFmtId="0" fontId="23" fillId="0" borderId="0" applyNumberFormat="0" applyFill="0" applyBorder="0" applyAlignment="0" applyProtection="0"/>
    <xf numFmtId="0" fontId="9" fillId="0" borderId="0"/>
    <xf numFmtId="9" fontId="24" fillId="0" borderId="0" applyFont="0" applyFill="0" applyBorder="0" applyAlignment="0" applyProtection="0"/>
    <xf numFmtId="0" fontId="7" fillId="0" borderId="0"/>
    <xf numFmtId="0" fontId="9" fillId="33" borderId="6" applyNumberFormat="0">
      <protection locked="0"/>
    </xf>
    <xf numFmtId="9" fontId="7" fillId="0" borderId="0" applyFont="0" applyFill="0" applyBorder="0" applyAlignment="0" applyProtection="0"/>
    <xf numFmtId="0" fontId="9" fillId="0" borderId="0"/>
    <xf numFmtId="0" fontId="7" fillId="0" borderId="0"/>
    <xf numFmtId="0" fontId="9" fillId="0" borderId="0"/>
    <xf numFmtId="172" fontId="7" fillId="3" borderId="6">
      <alignment vertical="center"/>
      <protection locked="0"/>
    </xf>
    <xf numFmtId="172" fontId="7" fillId="43" borderId="6">
      <alignment vertical="center"/>
    </xf>
    <xf numFmtId="9" fontId="12" fillId="0" borderId="0" applyFont="0" applyFill="0" applyBorder="0" applyAlignment="0" applyProtection="0"/>
    <xf numFmtId="0" fontId="25" fillId="0" borderId="0">
      <alignment vertical="top"/>
    </xf>
    <xf numFmtId="0" fontId="12" fillId="0" borderId="0"/>
    <xf numFmtId="0" fontId="7" fillId="0" borderId="0"/>
    <xf numFmtId="0" fontId="28" fillId="0" borderId="0"/>
    <xf numFmtId="0" fontId="9" fillId="0" borderId="0"/>
    <xf numFmtId="0" fontId="9" fillId="0" borderId="0"/>
    <xf numFmtId="0" fontId="25" fillId="0" borderId="0"/>
    <xf numFmtId="172" fontId="7" fillId="3" borderId="6">
      <alignment vertical="center"/>
      <protection locked="0"/>
    </xf>
    <xf numFmtId="0" fontId="34" fillId="0" borderId="0" applyNumberFormat="0" applyFill="0" applyBorder="0" applyAlignment="0" applyProtection="0"/>
    <xf numFmtId="0" fontId="25" fillId="0" borderId="0"/>
    <xf numFmtId="173" fontId="37" fillId="48" borderId="0" applyBorder="0">
      <alignment vertical="center"/>
    </xf>
    <xf numFmtId="169" fontId="7" fillId="0" borderId="0" applyFont="0" applyFill="0" applyBorder="0" applyAlignment="0" applyProtection="0"/>
    <xf numFmtId="173" fontId="38" fillId="49" borderId="0"/>
    <xf numFmtId="0" fontId="12" fillId="0" borderId="0"/>
    <xf numFmtId="0" fontId="28" fillId="0" borderId="0"/>
    <xf numFmtId="0" fontId="7" fillId="0" borderId="0"/>
    <xf numFmtId="0" fontId="7"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9" fillId="0" borderId="0">
      <alignment vertical="top"/>
    </xf>
    <xf numFmtId="185" fontId="9" fillId="0" borderId="0">
      <alignment vertical="top"/>
    </xf>
    <xf numFmtId="186" fontId="43" fillId="0" borderId="0"/>
    <xf numFmtId="187" fontId="9" fillId="0" borderId="0"/>
    <xf numFmtId="187" fontId="9" fillId="0" borderId="0"/>
    <xf numFmtId="187" fontId="9" fillId="0" borderId="0"/>
    <xf numFmtId="187" fontId="9" fillId="0" borderId="0"/>
    <xf numFmtId="187" fontId="9" fillId="0" borderId="0"/>
    <xf numFmtId="185" fontId="44" fillId="0" borderId="0"/>
    <xf numFmtId="186" fontId="43" fillId="0" borderId="0"/>
    <xf numFmtId="187" fontId="9" fillId="0" borderId="0"/>
    <xf numFmtId="187" fontId="9" fillId="0" borderId="0"/>
    <xf numFmtId="187" fontId="9" fillId="0" borderId="0"/>
    <xf numFmtId="187" fontId="9" fillId="0" borderId="0"/>
    <xf numFmtId="187" fontId="9" fillId="0" borderId="0"/>
    <xf numFmtId="188" fontId="45" fillId="0" borderId="0" applyFont="0" applyFill="0" applyBorder="0" applyAlignment="0" applyProtection="0">
      <protection locked="0"/>
    </xf>
    <xf numFmtId="189" fontId="44" fillId="0" borderId="0">
      <alignment horizontal="right"/>
    </xf>
    <xf numFmtId="190" fontId="44" fillId="46" borderId="0"/>
    <xf numFmtId="191" fontId="44" fillId="46" borderId="0"/>
    <xf numFmtId="192" fontId="44" fillId="46" borderId="0"/>
    <xf numFmtId="193" fontId="44" fillId="46" borderId="0">
      <alignment horizontal="right"/>
    </xf>
    <xf numFmtId="0" fontId="12" fillId="0" borderId="0"/>
    <xf numFmtId="179" fontId="12" fillId="0" borderId="0"/>
    <xf numFmtId="179"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4"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185" fontId="9" fillId="0" borderId="0"/>
    <xf numFmtId="0" fontId="9" fillId="0" borderId="0"/>
    <xf numFmtId="185" fontId="12" fillId="0" borderId="0"/>
    <xf numFmtId="185" fontId="9" fillId="0" borderId="0"/>
    <xf numFmtId="185" fontId="9" fillId="0" borderId="0"/>
    <xf numFmtId="185"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2"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185" fontId="12"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85"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185" fontId="9" fillId="0" borderId="0" applyBorder="0"/>
    <xf numFmtId="185" fontId="46" fillId="0" borderId="0" applyNumberFormat="0" applyFont="0" applyFill="0" applyBorder="0" applyAlignment="0" applyProtection="0"/>
    <xf numFmtId="167" fontId="9" fillId="0" borderId="0" applyFont="0" applyFill="0" applyBorder="0" applyAlignment="0" applyProtection="0"/>
    <xf numFmtId="185" fontId="41" fillId="0" borderId="0" applyNumberFormat="0" applyFill="0" applyBorder="0" applyAlignment="0" applyProtection="0">
      <alignment vertical="top"/>
      <protection locked="0"/>
    </xf>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47" fillId="0" borderId="0">
      <alignment horizontal="right" vertical="center"/>
    </xf>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185"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38" fontId="49" fillId="0" borderId="0" applyFont="0" applyFill="0" applyBorder="0" applyAlignment="0" applyProtection="0"/>
    <xf numFmtId="38" fontId="49" fillId="0" borderId="0" applyFont="0" applyFill="0" applyBorder="0" applyAlignment="0" applyProtection="0"/>
    <xf numFmtId="185" fontId="48" fillId="0" borderId="0"/>
    <xf numFmtId="185" fontId="9" fillId="0" borderId="0" applyFont="0" applyFill="0" applyBorder="0" applyAlignment="0" applyProtection="0"/>
    <xf numFmtId="185" fontId="48" fillId="0" borderId="0"/>
    <xf numFmtId="185" fontId="48" fillId="0" borderId="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9" fillId="0" borderId="0" applyFont="0" applyFill="0" applyBorder="0" applyAlignment="0" applyProtection="0"/>
    <xf numFmtId="0" fontId="48" fillId="0" borderId="0"/>
    <xf numFmtId="185" fontId="9" fillId="0" borderId="0"/>
    <xf numFmtId="185" fontId="9"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49" fillId="0" borderId="0" applyFont="0" applyFill="0" applyBorder="0" applyAlignment="0" applyProtection="0"/>
    <xf numFmtId="197" fontId="9" fillId="0" borderId="0" applyFont="0" applyFill="0" applyBorder="0" applyAlignment="0" applyProtection="0"/>
    <xf numFmtId="185" fontId="43" fillId="0" borderId="0" applyFont="0" applyFill="0" applyBorder="0" applyAlignment="0" applyProtection="0"/>
    <xf numFmtId="197" fontId="9" fillId="0" borderId="0" applyFont="0" applyFill="0" applyBorder="0" applyAlignment="0" applyProtection="0"/>
    <xf numFmtId="185" fontId="9" fillId="0" borderId="0"/>
    <xf numFmtId="185" fontId="9" fillId="0" borderId="0"/>
    <xf numFmtId="0" fontId="9" fillId="0" borderId="0"/>
    <xf numFmtId="185" fontId="48" fillId="0" borderId="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98" fontId="9" fillId="0" borderId="0" applyFont="0" applyFill="0" applyBorder="0" applyAlignment="0" applyProtection="0"/>
    <xf numFmtId="185" fontId="43" fillId="0" borderId="0" applyFont="0" applyFill="0" applyBorder="0" applyAlignment="0" applyProtection="0"/>
    <xf numFmtId="199" fontId="9" fillId="0" borderId="0" applyFont="0" applyFill="0" applyBorder="0" applyAlignment="0" applyProtection="0"/>
    <xf numFmtId="198" fontId="9" fillId="0" borderId="0" applyFont="0" applyFill="0" applyBorder="0" applyAlignment="0" applyProtection="0"/>
    <xf numFmtId="199" fontId="9" fillId="0" borderId="0" applyFont="0" applyFill="0" applyBorder="0" applyAlignment="0" applyProtection="0"/>
    <xf numFmtId="39" fontId="9" fillId="0" borderId="0" applyFont="0" applyFill="0" applyBorder="0" applyAlignment="0" applyProtection="0"/>
    <xf numFmtId="185" fontId="43" fillId="0" borderId="0" applyFont="0" applyFill="0" applyBorder="0" applyAlignment="0" applyProtection="0"/>
    <xf numFmtId="39" fontId="9" fillId="0" borderId="0" applyFont="0" applyFill="0" applyBorder="0" applyAlignment="0" applyProtection="0"/>
    <xf numFmtId="185"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48" fillId="0" borderId="0"/>
    <xf numFmtId="185" fontId="41" fillId="0" borderId="0"/>
    <xf numFmtId="185" fontId="41" fillId="0" borderId="0"/>
    <xf numFmtId="38" fontId="49" fillId="0" borderId="0" applyAlignment="0" applyProtection="0"/>
    <xf numFmtId="38" fontId="49" fillId="0" borderId="0" applyFont="0" applyBorder="0" applyAlignment="0" applyProtection="0"/>
    <xf numFmtId="200" fontId="9" fillId="0" borderId="0" applyFont="0" applyFill="0" applyBorder="0" applyProtection="0">
      <alignment vertical="top"/>
    </xf>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48"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48" fillId="0" borderId="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38" fontId="40" fillId="0" borderId="0" applyAlignment="0" applyProtection="0"/>
    <xf numFmtId="0" fontId="9" fillId="0" borderId="0" applyFont="0" applyFill="0" applyBorder="0" applyAlignment="0" applyProtection="0"/>
    <xf numFmtId="200" fontId="9" fillId="0" borderId="0" applyFont="0" applyFill="0" applyBorder="0" applyProtection="0">
      <alignment vertical="top"/>
    </xf>
    <xf numFmtId="38" fontId="40" fillId="0" borderId="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9" fillId="0" borderId="0"/>
    <xf numFmtId="185" fontId="48" fillId="0" borderId="0"/>
    <xf numFmtId="201" fontId="9" fillId="0" borderId="0" applyFont="0" applyFill="0" applyBorder="0" applyAlignment="0" applyProtection="0"/>
    <xf numFmtId="185" fontId="43" fillId="0" borderId="0" applyFont="0" applyFill="0" applyBorder="0" applyAlignment="0" applyProtection="0"/>
    <xf numFmtId="202" fontId="9" fillId="0" borderId="0" applyFont="0" applyFill="0" applyBorder="0" applyAlignment="0" applyProtection="0"/>
    <xf numFmtId="201"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185" fontId="43" fillId="0" borderId="0" applyFont="0" applyFill="0" applyBorder="0" applyAlignment="0" applyProtection="0"/>
    <xf numFmtId="204"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0" fontId="9" fillId="0" borderId="0" applyFont="0" applyFill="0" applyBorder="0" applyAlignment="0" applyProtection="0"/>
    <xf numFmtId="185" fontId="48" fillId="0" borderId="0"/>
    <xf numFmtId="185" fontId="48" fillId="0" borderId="0"/>
    <xf numFmtId="185" fontId="9" fillId="0" borderId="0"/>
    <xf numFmtId="0" fontId="9" fillId="0" borderId="0" applyFont="0" applyFill="0" applyBorder="0" applyAlignment="0" applyProtection="0"/>
    <xf numFmtId="185" fontId="48" fillId="0" borderId="0"/>
    <xf numFmtId="38" fontId="40" fillId="0" borderId="0" applyAlignment="0" applyProtection="0"/>
    <xf numFmtId="185" fontId="9" fillId="0" borderId="0"/>
    <xf numFmtId="185" fontId="9" fillId="0" borderId="0"/>
    <xf numFmtId="38" fontId="49" fillId="0" borderId="0" applyFont="0" applyFill="0" applyBorder="0" applyAlignment="0" applyProtection="0"/>
    <xf numFmtId="38" fontId="49" fillId="0" borderId="0" applyFont="0" applyFill="0" applyBorder="0" applyAlignment="0" applyProtection="0"/>
    <xf numFmtId="205" fontId="9" fillId="0" borderId="0" applyFont="0" applyFill="0" applyBorder="0" applyAlignment="0" applyProtection="0"/>
    <xf numFmtId="185" fontId="43" fillId="0" borderId="0" applyFont="0" applyFill="0" applyBorder="0" applyAlignment="0" applyProtection="0"/>
    <xf numFmtId="181" fontId="9" fillId="0" borderId="0" applyFont="0" applyFill="0" applyBorder="0" applyAlignment="0" applyProtection="0"/>
    <xf numFmtId="205" fontId="9" fillId="0" borderId="0" applyFont="0" applyFill="0" applyBorder="0" applyAlignment="0" applyProtection="0"/>
    <xf numFmtId="181" fontId="9" fillId="0" borderId="0" applyFont="0" applyFill="0" applyBorder="0" applyAlignment="0" applyProtection="0"/>
    <xf numFmtId="206" fontId="9" fillId="0" borderId="0" applyFont="0" applyFill="0" applyBorder="0" applyAlignment="0" applyProtection="0"/>
    <xf numFmtId="185" fontId="43" fillId="0" borderId="0" applyFont="0" applyFill="0" applyBorder="0" applyAlignment="0" applyProtection="0"/>
    <xf numFmtId="207" fontId="9" fillId="0" borderId="0" applyFont="0" applyFill="0" applyBorder="0" applyAlignment="0" applyProtection="0"/>
    <xf numFmtId="206" fontId="9" fillId="0" borderId="0" applyFont="0" applyFill="0" applyBorder="0" applyAlignment="0" applyProtection="0"/>
    <xf numFmtId="207" fontId="9" fillId="0" borderId="0" applyFont="0" applyFill="0" applyBorder="0" applyAlignment="0" applyProtection="0"/>
    <xf numFmtId="185" fontId="50" fillId="0" borderId="0"/>
    <xf numFmtId="185" fontId="50" fillId="0" borderId="0"/>
    <xf numFmtId="185" fontId="50" fillId="0" borderId="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48" fillId="0" borderId="0"/>
    <xf numFmtId="0"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85" fontId="51" fillId="0" borderId="0" applyNumberFormat="0" applyFill="0" applyBorder="0" applyProtection="0">
      <alignment horizontal="left"/>
    </xf>
    <xf numFmtId="185" fontId="52" fillId="0" borderId="0" applyNumberFormat="0" applyFill="0" applyBorder="0" applyProtection="0">
      <alignment horizontal="centerContinuous"/>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50" fillId="0" borderId="0"/>
    <xf numFmtId="185" fontId="50" fillId="0" borderId="0"/>
    <xf numFmtId="208" fontId="53" fillId="0" borderId="0"/>
    <xf numFmtId="185" fontId="41" fillId="0" borderId="0"/>
    <xf numFmtId="185" fontId="41" fillId="0" borderId="0"/>
    <xf numFmtId="185" fontId="50" fillId="0" borderId="0"/>
    <xf numFmtId="185" fontId="50" fillId="0" borderId="0"/>
    <xf numFmtId="185" fontId="50" fillId="0" borderId="0"/>
    <xf numFmtId="0" fontId="9" fillId="0" borderId="0" applyFont="0" applyFill="0" applyBorder="0" applyAlignment="0" applyProtection="0"/>
    <xf numFmtId="185" fontId="9" fillId="0" borderId="0"/>
    <xf numFmtId="185" fontId="48" fillId="0" borderId="0"/>
    <xf numFmtId="208"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9" fontId="54" fillId="0" borderId="0" applyFont="0" applyFill="0" applyBorder="0" applyAlignment="0" applyProtection="0"/>
    <xf numFmtId="210" fontId="41" fillId="0" borderId="0" applyFont="0" applyFill="0" applyBorder="0" applyAlignment="0" applyProtection="0"/>
    <xf numFmtId="211" fontId="55" fillId="0" borderId="0"/>
    <xf numFmtId="212" fontId="41" fillId="0" borderId="0" applyFont="0" applyFill="0" applyBorder="0" applyAlignment="0" applyProtection="0"/>
    <xf numFmtId="213" fontId="54" fillId="0" borderId="0" applyFont="0" applyFill="0" applyBorder="0" applyAlignment="0" applyProtection="0"/>
    <xf numFmtId="0" fontId="12" fillId="0" borderId="0"/>
    <xf numFmtId="0" fontId="9" fillId="0" borderId="0"/>
    <xf numFmtId="0" fontId="9" fillId="0" borderId="0"/>
    <xf numFmtId="0" fontId="9" fillId="0" borderId="0"/>
    <xf numFmtId="19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185" fontId="9" fillId="0" borderId="0"/>
    <xf numFmtId="214" fontId="9" fillId="0" borderId="0" applyBorder="0"/>
    <xf numFmtId="0" fontId="9" fillId="0" borderId="0"/>
    <xf numFmtId="0" fontId="9" fillId="0" borderId="0"/>
    <xf numFmtId="185" fontId="9" fillId="0" borderId="0" applyBorder="0"/>
    <xf numFmtId="214" fontId="9" fillId="0" borderId="0" applyBorder="0"/>
    <xf numFmtId="208" fontId="53" fillId="0" borderId="0"/>
    <xf numFmtId="215" fontId="55" fillId="0" borderId="0"/>
    <xf numFmtId="215" fontId="56" fillId="0" borderId="0"/>
    <xf numFmtId="216" fontId="55" fillId="0" borderId="0"/>
    <xf numFmtId="217" fontId="45" fillId="0" borderId="0" applyFont="0" applyFill="0" applyBorder="0" applyAlignment="0" applyProtection="0">
      <protection locked="0"/>
    </xf>
    <xf numFmtId="218" fontId="57" fillId="0" borderId="0"/>
    <xf numFmtId="185" fontId="56" fillId="0" borderId="0"/>
    <xf numFmtId="218" fontId="58" fillId="0" borderId="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194" fontId="59" fillId="56"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94" fontId="59" fillId="20"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194" fontId="59" fillId="57"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194" fontId="59" fillId="59"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194" fontId="59" fillId="60" borderId="0" applyNumberFormat="0" applyBorder="0" applyAlignment="0" applyProtection="0"/>
    <xf numFmtId="219" fontId="55" fillId="0" borderId="0"/>
    <xf numFmtId="220" fontId="56" fillId="0" borderId="0"/>
    <xf numFmtId="219" fontId="60" fillId="0" borderId="0"/>
    <xf numFmtId="0" fontId="9" fillId="0" borderId="0"/>
    <xf numFmtId="0" fontId="9" fillId="0" borderId="0"/>
    <xf numFmtId="221" fontId="55" fillId="0" borderId="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94" fontId="59" fillId="21"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94" fontId="59" fillId="2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94" fontId="59" fillId="23"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194" fontId="62" fillId="62"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94" fontId="62" fillId="21"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94" fontId="62" fillId="28"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94" fontId="62" fillId="24" borderId="0" applyNumberFormat="0" applyBorder="0" applyAlignment="0" applyProtection="0"/>
    <xf numFmtId="0" fontId="43" fillId="0" borderId="0"/>
    <xf numFmtId="0" fontId="13" fillId="65" borderId="0" applyNumberFormat="0" applyBorder="0" applyAlignment="0" applyProtection="0"/>
    <xf numFmtId="0" fontId="13" fillId="12"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194" fontId="62" fillId="67" borderId="0" applyNumberFormat="0" applyBorder="0" applyAlignment="0" applyProtection="0"/>
    <xf numFmtId="0" fontId="13" fillId="68" borderId="0" applyNumberFormat="0" applyBorder="0" applyAlignment="0" applyProtection="0"/>
    <xf numFmtId="0" fontId="13" fillId="11"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94" fontId="62" fillId="22" borderId="0" applyNumberFormat="0" applyBorder="0" applyAlignment="0" applyProtection="0"/>
    <xf numFmtId="0" fontId="13" fillId="70" borderId="0" applyNumberFormat="0" applyBorder="0" applyAlignment="0" applyProtection="0"/>
    <xf numFmtId="0" fontId="13" fillId="71"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94" fontId="62" fillId="26" borderId="0" applyNumberFormat="0" applyBorder="0" applyAlignment="0" applyProtection="0"/>
    <xf numFmtId="0" fontId="13" fillId="68" borderId="0" applyNumberFormat="0" applyBorder="0" applyAlignment="0" applyProtection="0"/>
    <xf numFmtId="0" fontId="13" fillId="9"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194" fontId="62" fillId="25" borderId="0" applyNumberFormat="0" applyBorder="0" applyAlignment="0" applyProtection="0"/>
    <xf numFmtId="222" fontId="63" fillId="0" borderId="9">
      <alignment horizontal="centerContinuous"/>
    </xf>
    <xf numFmtId="223" fontId="64" fillId="40" borderId="12">
      <alignment horizontal="center" vertical="center"/>
    </xf>
    <xf numFmtId="214" fontId="45" fillId="0" borderId="0" applyFont="0" applyFill="0" applyBorder="0" applyAlignment="0" applyProtection="0"/>
    <xf numFmtId="185" fontId="45" fillId="0" borderId="0" applyFont="0" applyFill="0" applyBorder="0" applyAlignment="0" applyProtection="0"/>
    <xf numFmtId="208" fontId="65" fillId="0" borderId="0" applyNumberFormat="0" applyFont="0" applyFill="0" applyBorder="0" applyProtection="0">
      <alignment horizontal="center"/>
    </xf>
    <xf numFmtId="224" fontId="66" fillId="0" borderId="0">
      <alignment horizontal="left"/>
    </xf>
    <xf numFmtId="0" fontId="57" fillId="0" borderId="0"/>
    <xf numFmtId="225" fontId="67" fillId="0" borderId="0" applyFont="0" applyFill="0" applyBorder="0" applyAlignment="0" applyProtection="0"/>
    <xf numFmtId="185" fontId="45" fillId="0" borderId="0" applyFont="0" applyFill="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70" fillId="55"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194" fontId="72" fillId="20" borderId="0" applyNumberFormat="0" applyBorder="0" applyAlignment="0" applyProtection="0"/>
    <xf numFmtId="226" fontId="73" fillId="75" borderId="7" applyNumberFormat="0" applyBorder="0" applyAlignment="0">
      <alignment horizontal="centerContinuous" vertical="center"/>
      <protection hidden="1"/>
    </xf>
    <xf numFmtId="1" fontId="74" fillId="76" borderId="10" applyNumberFormat="0" applyBorder="0" applyAlignment="0">
      <alignment horizontal="center" vertical="top" wrapText="1"/>
      <protection hidden="1"/>
    </xf>
    <xf numFmtId="227" fontId="9" fillId="0" borderId="0" applyFont="0" applyFill="0" applyBorder="0" applyAlignment="0" applyProtection="0"/>
    <xf numFmtId="197" fontId="9" fillId="0" borderId="0" applyNumberFormat="0" applyFont="0" applyAlignment="0" applyProtection="0"/>
    <xf numFmtId="185" fontId="75" fillId="77" borderId="0">
      <alignment horizontal="left"/>
    </xf>
    <xf numFmtId="228" fontId="76" fillId="0" borderId="0" applyFill="0" applyBorder="0" applyAlignment="0" applyProtection="0"/>
    <xf numFmtId="2" fontId="77" fillId="50" borderId="11" applyProtection="0">
      <alignment horizontal="left"/>
      <protection locked="0"/>
    </xf>
    <xf numFmtId="185" fontId="64" fillId="40" borderId="0" applyNumberFormat="0" applyFont="0" applyAlignment="0">
      <alignment horizontal="center"/>
    </xf>
    <xf numFmtId="229" fontId="78" fillId="40" borderId="0" applyFont="0" applyFill="0" applyBorder="0" applyAlignment="0" applyProtection="0"/>
    <xf numFmtId="185" fontId="79" fillId="0" borderId="0" applyNumberFormat="0" applyFill="0" applyBorder="0" applyAlignment="0" applyProtection="0"/>
    <xf numFmtId="185" fontId="80" fillId="0" borderId="9" applyNumberFormat="0" applyFill="0" applyAlignment="0" applyProtection="0"/>
    <xf numFmtId="185" fontId="55" fillId="0" borderId="0"/>
    <xf numFmtId="230" fontId="81" fillId="45" borderId="0" applyFont="0" applyFill="0" applyBorder="0" applyAlignment="0" applyProtection="0"/>
    <xf numFmtId="231" fontId="43" fillId="0" borderId="0" applyAlignment="0" applyProtection="0"/>
    <xf numFmtId="49" fontId="53" fillId="0" borderId="0" applyNumberFormat="0" applyAlignment="0" applyProtection="0">
      <alignment horizontal="left"/>
    </xf>
    <xf numFmtId="49" fontId="82" fillId="0" borderId="13" applyNumberFormat="0" applyAlignment="0" applyProtection="0">
      <alignment horizontal="left" wrapText="1"/>
    </xf>
    <xf numFmtId="49" fontId="83" fillId="0" borderId="0" applyAlignment="0" applyProtection="0">
      <alignment horizontal="left"/>
    </xf>
    <xf numFmtId="232" fontId="41" fillId="0" borderId="0" applyFont="0" applyFill="0" applyBorder="0" applyAlignment="0" applyProtection="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5" fillId="0" borderId="0"/>
    <xf numFmtId="233" fontId="43" fillId="0" borderId="0"/>
    <xf numFmtId="234" fontId="43" fillId="0" borderId="0"/>
    <xf numFmtId="235" fontId="43" fillId="0" borderId="0"/>
    <xf numFmtId="233" fontId="43" fillId="0" borderId="8"/>
    <xf numFmtId="234" fontId="43" fillId="0" borderId="8"/>
    <xf numFmtId="234" fontId="43" fillId="0" borderId="8"/>
    <xf numFmtId="235" fontId="43" fillId="0" borderId="8"/>
    <xf numFmtId="235" fontId="43" fillId="0" borderId="8"/>
    <xf numFmtId="233" fontId="43" fillId="0" borderId="8"/>
    <xf numFmtId="233" fontId="43" fillId="0" borderId="8"/>
    <xf numFmtId="233" fontId="43" fillId="0" borderId="0"/>
    <xf numFmtId="236" fontId="43" fillId="0" borderId="0"/>
    <xf numFmtId="185" fontId="45" fillId="0" borderId="0" applyFill="0" applyBorder="0" applyAlignment="0"/>
    <xf numFmtId="237" fontId="43" fillId="0" borderId="0"/>
    <xf numFmtId="238" fontId="43" fillId="0" borderId="0"/>
    <xf numFmtId="236" fontId="43" fillId="0" borderId="8"/>
    <xf numFmtId="237" fontId="43" fillId="0" borderId="8"/>
    <xf numFmtId="237" fontId="43" fillId="0" borderId="8"/>
    <xf numFmtId="238" fontId="43" fillId="0" borderId="8"/>
    <xf numFmtId="238" fontId="43" fillId="0" borderId="8"/>
    <xf numFmtId="236" fontId="43" fillId="0" borderId="8"/>
    <xf numFmtId="236" fontId="43" fillId="0" borderId="8"/>
    <xf numFmtId="236" fontId="43" fillId="0" borderId="0"/>
    <xf numFmtId="239" fontId="43" fillId="0" borderId="0">
      <alignment horizontal="right"/>
      <protection locked="0"/>
    </xf>
    <xf numFmtId="240" fontId="43" fillId="0" borderId="0">
      <alignment horizontal="right"/>
      <protection locked="0"/>
    </xf>
    <xf numFmtId="241" fontId="43" fillId="0" borderId="0"/>
    <xf numFmtId="242" fontId="43" fillId="0" borderId="0"/>
    <xf numFmtId="243" fontId="43" fillId="0" borderId="0"/>
    <xf numFmtId="241" fontId="43" fillId="0" borderId="8"/>
    <xf numFmtId="242" fontId="43" fillId="0" borderId="8"/>
    <xf numFmtId="242" fontId="43" fillId="0" borderId="8"/>
    <xf numFmtId="243" fontId="43" fillId="0" borderId="8"/>
    <xf numFmtId="243" fontId="43" fillId="0" borderId="8"/>
    <xf numFmtId="241" fontId="43" fillId="0" borderId="8"/>
    <xf numFmtId="241" fontId="43" fillId="0" borderId="8"/>
    <xf numFmtId="241" fontId="43" fillId="0" borderId="0"/>
    <xf numFmtId="244" fontId="9" fillId="46" borderId="0"/>
    <xf numFmtId="185" fontId="9" fillId="0" borderId="0">
      <alignment vertical="center"/>
    </xf>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194" fontId="88" fillId="61" borderId="14" applyNumberFormat="0" applyAlignment="0" applyProtection="0"/>
    <xf numFmtId="194" fontId="88" fillId="61" borderId="14" applyNumberFormat="0" applyAlignment="0" applyProtection="0"/>
    <xf numFmtId="38" fontId="89" fillId="0" borderId="0" applyNumberFormat="0" applyFill="0" applyBorder="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194" fontId="91" fillId="79" borderId="15" applyNumberFormat="0" applyAlignment="0" applyProtection="0"/>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7" fontId="64" fillId="0" borderId="9">
      <alignment horizontal="center"/>
    </xf>
    <xf numFmtId="37" fontId="64" fillId="0" borderId="0">
      <alignment horizontal="center" vertical="center" wrapText="1"/>
    </xf>
    <xf numFmtId="1" fontId="92" fillId="0" borderId="16">
      <alignment vertical="top"/>
    </xf>
    <xf numFmtId="178" fontId="93" fillId="0" borderId="0" applyBorder="0">
      <alignment horizontal="right"/>
    </xf>
    <xf numFmtId="178" fontId="93" fillId="0" borderId="17" applyAlignment="0">
      <alignment horizontal="right"/>
    </xf>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38" fontId="9" fillId="0" borderId="0" applyFont="0" applyFill="0" applyBorder="0" applyAlignment="0" applyProtection="0"/>
    <xf numFmtId="208" fontId="45" fillId="0" borderId="0" applyFont="0" applyFill="0" applyBorder="0" applyAlignment="0" applyProtection="0">
      <protection locked="0"/>
    </xf>
    <xf numFmtId="40" fontId="45" fillId="0" borderId="0" applyFont="0" applyFill="0" applyBorder="0" applyAlignment="0" applyProtection="0">
      <protection locked="0"/>
    </xf>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applyNumberFormat="0" applyFont="0" applyBorder="0" applyAlignment="0"/>
    <xf numFmtId="211" fontId="55" fillId="0" borderId="0"/>
    <xf numFmtId="246" fontId="57" fillId="0" borderId="0"/>
    <xf numFmtId="185" fontId="94" fillId="0" borderId="0" applyFont="0" applyFill="0" applyBorder="0" applyAlignment="0" applyProtection="0">
      <alignment horizontal="right"/>
    </xf>
    <xf numFmtId="247" fontId="94" fillId="0" borderId="0" applyFont="0" applyFill="0" applyBorder="0" applyAlignment="0" applyProtection="0"/>
    <xf numFmtId="185" fontId="94" fillId="0" borderId="0" applyFont="0" applyFill="0" applyBorder="0" applyAlignment="0" applyProtection="0">
      <alignment horizontal="right"/>
    </xf>
    <xf numFmtId="0"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246" fontId="12" fillId="0" borderId="0" applyFont="0" applyFill="0" applyBorder="0" applyAlignment="0" applyProtection="0"/>
    <xf numFmtId="179" fontId="12" fillId="0" borderId="0" applyFont="0" applyFill="0" applyBorder="0" applyAlignment="0" applyProtection="0"/>
    <xf numFmtId="197" fontId="12" fillId="0" borderId="0" applyFont="0" applyFill="0" applyBorder="0" applyAlignment="0" applyProtection="0"/>
    <xf numFmtId="17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248" fontId="12" fillId="0" borderId="0" applyFont="0" applyFill="0" applyBorder="0" applyAlignment="0" applyProtection="0"/>
    <xf numFmtId="249" fontId="12" fillId="0" borderId="0" applyFont="0" applyFill="0" applyBorder="0" applyAlignment="0" applyProtection="0"/>
    <xf numFmtId="249" fontId="12" fillId="0" borderId="0" applyFont="0" applyFill="0" applyBorder="0" applyAlignment="0" applyProtection="0"/>
    <xf numFmtId="178" fontId="12" fillId="0" borderId="0" applyFont="0" applyFill="0" applyBorder="0" applyAlignment="0" applyProtection="0"/>
    <xf numFmtId="193"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250"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51" fontId="9" fillId="0" borderId="0" applyFont="0" applyFill="0" applyBorder="0" applyAlignment="0" applyProtection="0"/>
    <xf numFmtId="169" fontId="18"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52" fontId="9" fillId="0" borderId="0" applyFont="0" applyFill="0" applyBorder="0" applyAlignment="0" applyProtection="0"/>
    <xf numFmtId="38" fontId="41" fillId="0" borderId="0" applyFill="0" applyBorder="0" applyProtection="0">
      <alignment horizontal="center"/>
    </xf>
    <xf numFmtId="185" fontId="95" fillId="0" borderId="0">
      <protection locked="0"/>
    </xf>
    <xf numFmtId="253" fontId="9" fillId="0" borderId="0" applyBorder="0"/>
    <xf numFmtId="254" fontId="53" fillId="0" borderId="0" applyBorder="0"/>
    <xf numFmtId="255" fontId="9" fillId="0" borderId="0" applyFill="0" applyBorder="0">
      <alignment horizontal="left"/>
    </xf>
    <xf numFmtId="185" fontId="96" fillId="0" borderId="0" applyNumberFormat="0" applyAlignment="0">
      <alignment horizontal="left"/>
    </xf>
    <xf numFmtId="37" fontId="9" fillId="80" borderId="0" applyFont="0" applyBorder="0" applyAlignment="0" applyProtection="0"/>
    <xf numFmtId="197" fontId="50" fillId="80" borderId="0" applyFont="0" applyBorder="0" applyAlignment="0" applyProtection="0"/>
    <xf numFmtId="39" fontId="50" fillId="80" borderId="0" applyFont="0" applyBorder="0" applyAlignment="0" applyProtection="0"/>
    <xf numFmtId="256" fontId="97" fillId="0" borderId="0"/>
    <xf numFmtId="164" fontId="45" fillId="0" borderId="0" applyFont="0" applyFill="0" applyBorder="0" applyAlignment="0" applyProtection="0">
      <protection locked="0"/>
    </xf>
    <xf numFmtId="165" fontId="45" fillId="0" borderId="0" applyFont="0" applyFill="0" applyBorder="0" applyAlignment="0" applyProtection="0">
      <protection locked="0"/>
    </xf>
    <xf numFmtId="166" fontId="9" fillId="0" borderId="0">
      <alignment horizontal="right"/>
    </xf>
    <xf numFmtId="185" fontId="94" fillId="0" borderId="0" applyFont="0" applyFill="0" applyBorder="0" applyAlignment="0" applyProtection="0">
      <alignment horizontal="right"/>
    </xf>
    <xf numFmtId="257" fontId="28" fillId="0" borderId="0" applyFont="0" applyFill="0" applyBorder="0" applyAlignment="0" applyProtection="0"/>
    <xf numFmtId="258" fontId="9" fillId="0" borderId="0" applyFont="0" applyFill="0" applyBorder="0" applyAlignment="0" applyProtection="0"/>
    <xf numFmtId="185" fontId="94" fillId="0" borderId="0" applyFont="0" applyFill="0" applyBorder="0" applyAlignment="0" applyProtection="0">
      <alignment horizontal="right"/>
    </xf>
    <xf numFmtId="257" fontId="13" fillId="0" borderId="0" applyFont="0" applyFill="0" applyBorder="0" applyAlignment="0" applyProtection="0"/>
    <xf numFmtId="255" fontId="9"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9" fontId="9" fillId="0" borderId="0" applyFont="0" applyFill="0" applyBorder="0" applyAlignment="0" applyProtection="0"/>
    <xf numFmtId="185" fontId="9" fillId="0" borderId="0" applyFont="0" applyFill="0" applyBorder="0" applyAlignment="0" applyProtection="0"/>
    <xf numFmtId="49" fontId="98" fillId="81" borderId="0" applyAlignment="0" applyProtection="0">
      <alignment vertical="center"/>
    </xf>
    <xf numFmtId="260" fontId="44" fillId="46" borderId="11">
      <alignment horizontal="right"/>
    </xf>
    <xf numFmtId="261" fontId="41" fillId="0" borderId="0" applyFont="0" applyFill="0" applyBorder="0" applyAlignment="0" applyProtection="0"/>
    <xf numFmtId="233" fontId="43" fillId="45" borderId="18">
      <protection locked="0"/>
    </xf>
    <xf numFmtId="234" fontId="43" fillId="45" borderId="18">
      <protection locked="0"/>
    </xf>
    <xf numFmtId="235" fontId="43" fillId="45" borderId="18">
      <protection locked="0"/>
    </xf>
    <xf numFmtId="233" fontId="43" fillId="45" borderId="18">
      <protection locked="0"/>
    </xf>
    <xf numFmtId="236" fontId="43" fillId="45" borderId="18">
      <protection locked="0"/>
    </xf>
    <xf numFmtId="237" fontId="43" fillId="45" borderId="18">
      <protection locked="0"/>
    </xf>
    <xf numFmtId="238" fontId="43" fillId="45" borderId="18">
      <protection locked="0"/>
    </xf>
    <xf numFmtId="236" fontId="43" fillId="45" borderId="18">
      <protection locked="0"/>
    </xf>
    <xf numFmtId="239" fontId="43" fillId="37" borderId="18">
      <alignment horizontal="right"/>
      <protection locked="0"/>
    </xf>
    <xf numFmtId="240" fontId="43" fillId="37" borderId="18">
      <alignment horizontal="right"/>
      <protection locked="0"/>
    </xf>
    <xf numFmtId="0" fontId="43" fillId="82" borderId="18">
      <alignment horizontal="left"/>
      <protection locked="0"/>
    </xf>
    <xf numFmtId="49" fontId="43" fillId="38" borderId="18">
      <alignment horizontal="left" vertical="top" wrapText="1"/>
      <protection locked="0"/>
    </xf>
    <xf numFmtId="241" fontId="43" fillId="45" borderId="18">
      <protection locked="0"/>
    </xf>
    <xf numFmtId="242" fontId="43" fillId="45" borderId="18">
      <protection locked="0"/>
    </xf>
    <xf numFmtId="243" fontId="43" fillId="45" borderId="18">
      <protection locked="0"/>
    </xf>
    <xf numFmtId="241" fontId="43" fillId="45" borderId="18">
      <protection locked="0"/>
    </xf>
    <xf numFmtId="49" fontId="43" fillId="38" borderId="18">
      <alignment horizontal="left"/>
      <protection locked="0"/>
    </xf>
    <xf numFmtId="262" fontId="43" fillId="45" borderId="18">
      <alignment horizontal="left" indent="1"/>
      <protection locked="0"/>
    </xf>
    <xf numFmtId="263" fontId="9" fillId="45" borderId="19"/>
    <xf numFmtId="263" fontId="9" fillId="45" borderId="19"/>
    <xf numFmtId="263" fontId="9" fillId="45" borderId="19"/>
    <xf numFmtId="263" fontId="9" fillId="45" borderId="19"/>
    <xf numFmtId="263" fontId="9" fillId="45" borderId="19"/>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185" fontId="94" fillId="0" borderId="0" applyFont="0" applyFill="0" applyBorder="0" applyAlignment="0" applyProtection="0"/>
    <xf numFmtId="265" fontId="9" fillId="0" borderId="0" applyFont="0" applyFill="0" applyBorder="0" applyAlignment="0" applyProtection="0"/>
    <xf numFmtId="185" fontId="94" fillId="0" borderId="0" applyFont="0" applyFill="0" applyBorder="0" applyAlignment="0" applyProtection="0"/>
    <xf numFmtId="185" fontId="93" fillId="50" borderId="0">
      <alignment horizontal="left"/>
    </xf>
    <xf numFmtId="264" fontId="9" fillId="0" borderId="0" applyFill="0" applyBorder="0"/>
    <xf numFmtId="14" fontId="9" fillId="0" borderId="0"/>
    <xf numFmtId="266" fontId="9" fillId="0" borderId="0" applyFont="0" applyFill="0" applyBorder="0" applyAlignment="0" applyProtection="0"/>
    <xf numFmtId="267" fontId="9" fillId="0" borderId="0" applyFont="0" applyFill="0" applyBorder="0" applyProtection="0">
      <alignment vertical="top"/>
    </xf>
    <xf numFmtId="267" fontId="9" fillId="0" borderId="0" applyFont="0" applyFill="0" applyBorder="0" applyProtection="0">
      <alignment vertical="top"/>
    </xf>
    <xf numFmtId="267" fontId="9" fillId="0" borderId="0" applyFont="0" applyFill="0" applyBorder="0" applyProtection="0">
      <alignment vertical="top"/>
    </xf>
    <xf numFmtId="268" fontId="9" fillId="0" borderId="0" applyFont="0" applyFill="0" applyBorder="0" applyAlignment="0" applyProtection="0"/>
    <xf numFmtId="267" fontId="9" fillId="0" borderId="0" applyFont="0" applyFill="0" applyBorder="0" applyProtection="0">
      <alignment vertical="top"/>
    </xf>
    <xf numFmtId="268" fontId="9" fillId="0" borderId="0" applyFont="0" applyFill="0" applyBorder="0" applyAlignment="0" applyProtection="0"/>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16" fontId="57" fillId="0" borderId="0">
      <alignment horizontal="right"/>
    </xf>
    <xf numFmtId="211" fontId="57" fillId="0" borderId="0">
      <alignment horizontal="right"/>
      <protection locked="0"/>
    </xf>
    <xf numFmtId="211" fontId="57" fillId="0" borderId="0"/>
    <xf numFmtId="270" fontId="57" fillId="0" borderId="0">
      <alignment horizontal="right"/>
      <protection locked="0"/>
    </xf>
    <xf numFmtId="211" fontId="58" fillId="0" borderId="0"/>
    <xf numFmtId="271" fontId="53" fillId="83" borderId="0" applyAlignment="0" applyProtection="0">
      <alignment horizontal="right"/>
    </xf>
    <xf numFmtId="272" fontId="9" fillId="0" borderId="0" applyFont="0" applyFill="0" applyBorder="0" applyAlignment="0" applyProtection="0"/>
    <xf numFmtId="171" fontId="9" fillId="0" borderId="0" applyFont="0" applyFill="0" applyBorder="0" applyAlignment="0" applyProtection="0"/>
    <xf numFmtId="208" fontId="65" fillId="46" borderId="0" applyNumberFormat="0" applyFont="0" applyBorder="0" applyAlignment="0" applyProtection="0"/>
    <xf numFmtId="165" fontId="41" fillId="0" borderId="0" applyFill="0" applyBorder="0" applyProtection="0">
      <alignment horizontal="center"/>
    </xf>
    <xf numFmtId="164" fontId="41" fillId="0" borderId="0">
      <alignment horizontal="center"/>
    </xf>
    <xf numFmtId="165" fontId="41" fillId="0" borderId="0" applyFill="0" applyBorder="0" applyProtection="0">
      <alignment horizontal="center"/>
    </xf>
    <xf numFmtId="255" fontId="99" fillId="0" borderId="0">
      <alignment horizontal="center"/>
    </xf>
    <xf numFmtId="185" fontId="94" fillId="0" borderId="20" applyNumberFormat="0" applyFont="0" applyFill="0" applyAlignment="0" applyProtection="0"/>
    <xf numFmtId="214" fontId="100" fillId="0" borderId="21"/>
    <xf numFmtId="215" fontId="57" fillId="0" borderId="0"/>
    <xf numFmtId="38" fontId="49" fillId="0" borderId="0" applyFont="0" applyFill="0" applyBorder="0" applyAlignment="0" applyProtection="0"/>
    <xf numFmtId="185" fontId="101" fillId="0" borderId="0" applyFont="0" applyFill="0" applyBorder="0" applyAlignment="0" applyProtection="0"/>
    <xf numFmtId="185" fontId="102" fillId="0" borderId="0" applyNumberFormat="0" applyAlignment="0">
      <alignment horizontal="left"/>
    </xf>
    <xf numFmtId="273" fontId="44" fillId="0" borderId="0"/>
    <xf numFmtId="274" fontId="44" fillId="0" borderId="0"/>
    <xf numFmtId="275" fontId="44" fillId="0" borderId="0"/>
    <xf numFmtId="276" fontId="44" fillId="0" borderId="0"/>
    <xf numFmtId="277" fontId="44" fillId="0" borderId="0"/>
    <xf numFmtId="278" fontId="44" fillId="0" borderId="0"/>
    <xf numFmtId="194" fontId="4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279" fontId="9" fillId="0" borderId="0" applyFont="0" applyFill="0" applyBorder="0" applyAlignment="0" applyProtection="0"/>
    <xf numFmtId="280" fontId="9" fillId="0" borderId="0" applyFont="0" applyFill="0" applyBorder="0" applyAlignment="0" applyProtection="0"/>
    <xf numFmtId="281" fontId="9" fillId="0" borderId="0" applyFont="0" applyFill="0" applyBorder="0" applyAlignment="0" applyProtection="0"/>
    <xf numFmtId="185" fontId="9" fillId="0" borderId="0" applyFon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94" fontId="105" fillId="0" borderId="0" applyNumberFormat="0" applyFill="0" applyBorder="0" applyAlignment="0" applyProtection="0"/>
    <xf numFmtId="0" fontId="41" fillId="79" borderId="0" applyNumberFormat="0" applyFont="0" applyBorder="0" applyAlignment="0" applyProtection="0"/>
    <xf numFmtId="0" fontId="41" fillId="79" borderId="0" applyNumberFormat="0" applyFont="0" applyBorder="0" applyAlignment="0" applyProtection="0"/>
    <xf numFmtId="0" fontId="106" fillId="0" borderId="0" applyNumberFormat="0" applyFill="0" applyBorder="0" applyAlignment="0" applyProtection="0"/>
    <xf numFmtId="282" fontId="107" fillId="0" borderId="0" applyFill="0" applyBorder="0"/>
    <xf numFmtId="15" fontId="18" fillId="0" borderId="0" applyFill="0" applyBorder="0" applyProtection="0">
      <alignment horizontal="center"/>
    </xf>
    <xf numFmtId="0" fontId="41" fillId="20" borderId="0" applyNumberFormat="0" applyFont="0" applyBorder="0" applyAlignment="0" applyProtection="0"/>
    <xf numFmtId="0" fontId="41" fillId="20" borderId="0" applyNumberFormat="0" applyFont="0" applyBorder="0" applyAlignment="0" applyProtection="0"/>
    <xf numFmtId="283" fontId="108" fillId="0" borderId="0" applyFill="0" applyBorder="0" applyProtection="0"/>
    <xf numFmtId="284" fontId="19" fillId="61" borderId="2" applyAlignment="0" applyProtection="0"/>
    <xf numFmtId="284" fontId="19" fillId="61" borderId="2" applyAlignment="0" applyProtection="0"/>
    <xf numFmtId="285" fontId="109" fillId="0" borderId="0" applyNumberFormat="0" applyFill="0" applyBorder="0" applyAlignment="0" applyProtection="0"/>
    <xf numFmtId="285" fontId="110" fillId="0" borderId="0" applyNumberFormat="0" applyFill="0" applyBorder="0" applyAlignment="0" applyProtection="0"/>
    <xf numFmtId="15" fontId="106" fillId="45" borderId="18">
      <alignment horizontal="center"/>
      <protection locked="0"/>
    </xf>
    <xf numFmtId="286" fontId="106" fillId="45" borderId="18" applyAlignment="0">
      <protection locked="0"/>
    </xf>
    <xf numFmtId="287" fontId="106" fillId="45" borderId="18" applyAlignment="0">
      <protection locked="0"/>
    </xf>
    <xf numFmtId="287" fontId="18" fillId="0" borderId="0" applyFill="0" applyBorder="0" applyAlignment="0" applyProtection="0"/>
    <xf numFmtId="288" fontId="18" fillId="0" borderId="0" applyFill="0" applyBorder="0" applyAlignment="0" applyProtection="0"/>
    <xf numFmtId="288" fontId="18" fillId="0" borderId="0" applyFill="0" applyBorder="0" applyAlignment="0" applyProtection="0"/>
    <xf numFmtId="289" fontId="18" fillId="0" borderId="0" applyFill="0" applyBorder="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28" borderId="0" applyNumberFormat="0" applyFont="0" applyBorder="0" applyAlignment="0" applyProtection="0"/>
    <xf numFmtId="0" fontId="41" fillId="28" borderId="0" applyNumberFormat="0" applyFont="0" applyBorder="0" applyAlignment="0" applyProtection="0"/>
    <xf numFmtId="167" fontId="9" fillId="0" borderId="0" applyFont="0" applyFill="0" applyBorder="0" applyAlignment="0" applyProtection="0"/>
    <xf numFmtId="169" fontId="9" fillId="0" borderId="0" applyFont="0" applyFill="0" applyBorder="0" applyAlignment="0" applyProtection="0"/>
    <xf numFmtId="290" fontId="9" fillId="0" borderId="0" applyFont="0" applyFill="0" applyBorder="0" applyAlignment="0" applyProtection="0"/>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1" fontId="111" fillId="84" borderId="24" applyNumberFormat="0" applyBorder="0" applyAlignment="0">
      <alignment horizontal="centerContinuous" vertical="center"/>
      <protection locked="0"/>
    </xf>
    <xf numFmtId="185" fontId="95" fillId="0" borderId="0">
      <protection locked="0"/>
    </xf>
    <xf numFmtId="255" fontId="112" fillId="0" borderId="0"/>
    <xf numFmtId="255" fontId="112" fillId="0" borderId="0"/>
    <xf numFmtId="185" fontId="113" fillId="0" borderId="0"/>
    <xf numFmtId="185" fontId="114" fillId="0" borderId="0" applyFill="0" applyBorder="0" applyProtection="0">
      <alignment horizontal="left"/>
    </xf>
    <xf numFmtId="4" fontId="115" fillId="0" borderId="0">
      <protection locked="0"/>
    </xf>
    <xf numFmtId="0" fontId="98" fillId="19" borderId="0" applyAlignment="0" applyProtection="0">
      <alignment horizontal="right" vertical="center"/>
    </xf>
    <xf numFmtId="256" fontId="116" fillId="0" borderId="0"/>
    <xf numFmtId="274" fontId="44" fillId="0" borderId="25"/>
    <xf numFmtId="292" fontId="44" fillId="46" borderId="11">
      <alignment horizontal="right"/>
    </xf>
    <xf numFmtId="293" fontId="9" fillId="0" borderId="0" applyFont="0" applyFill="0" applyBorder="0" applyAlignment="0" applyProtection="0"/>
    <xf numFmtId="294" fontId="117" fillId="0" borderId="0" applyFont="0" applyFill="0" applyBorder="0" applyAlignment="0" applyProtection="0"/>
    <xf numFmtId="295" fontId="9" fillId="0" borderId="0" applyFont="0" applyFill="0" applyBorder="0" applyAlignment="0" applyProtection="0"/>
    <xf numFmtId="296" fontId="117"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194" fontId="119" fillId="57" borderId="0" applyNumberFormat="0" applyBorder="0" applyAlignment="0" applyProtection="0"/>
    <xf numFmtId="2" fontId="120" fillId="50" borderId="11" applyProtection="0">
      <alignment horizontal="left"/>
      <protection locked="0"/>
    </xf>
    <xf numFmtId="38" fontId="53" fillId="46" borderId="0" applyNumberFormat="0" applyBorder="0" applyAlignment="0" applyProtection="0"/>
    <xf numFmtId="0" fontId="9" fillId="61" borderId="0" applyNumberFormat="0" applyFont="0" applyBorder="0" applyAlignment="0" applyProtection="0"/>
    <xf numFmtId="297" fontId="93" fillId="36" borderId="26" applyNumberFormat="0" applyFont="0" applyAlignment="0"/>
    <xf numFmtId="185" fontId="94" fillId="0" borderId="0" applyFont="0" applyFill="0" applyBorder="0" applyAlignment="0" applyProtection="0">
      <alignment horizontal="right"/>
    </xf>
    <xf numFmtId="185" fontId="121" fillId="0" borderId="0" applyProtection="0">
      <alignment horizontal="right"/>
    </xf>
    <xf numFmtId="185" fontId="78" fillId="0" borderId="27" applyNumberFormat="0" applyAlignment="0" applyProtection="0">
      <alignment horizontal="left" vertical="center"/>
    </xf>
    <xf numFmtId="185" fontId="78" fillId="0" borderId="28">
      <alignment horizontal="left" vertical="center"/>
    </xf>
    <xf numFmtId="2" fontId="74" fillId="76" borderId="0" applyAlignment="0">
      <alignment horizontal="right"/>
      <protection locked="0"/>
    </xf>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194" fontId="124" fillId="0" borderId="30"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194" fontId="127" fillId="0" borderId="31"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194" fontId="130" fillId="0" borderId="32" applyNumberFormat="0" applyFill="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94" fontId="130" fillId="0" borderId="0" applyNumberFormat="0" applyFill="0" applyBorder="0" applyAlignment="0" applyProtection="0"/>
    <xf numFmtId="185" fontId="41" fillId="0" borderId="0">
      <protection locked="0"/>
    </xf>
    <xf numFmtId="185" fontId="41" fillId="0" borderId="0">
      <protection locked="0"/>
    </xf>
    <xf numFmtId="298" fontId="131" fillId="0" borderId="0">
      <alignment horizontal="right"/>
    </xf>
    <xf numFmtId="299" fontId="61" fillId="0" borderId="0" applyAlignment="0">
      <alignment horizontal="right"/>
      <protection hidden="1"/>
    </xf>
    <xf numFmtId="185" fontId="106" fillId="0" borderId="33" applyNumberFormat="0" applyFill="0" applyAlignment="0" applyProtection="0"/>
    <xf numFmtId="208" fontId="132" fillId="0" borderId="0" applyNumberFormat="0" applyBorder="0" applyAlignment="0" applyProtection="0">
      <alignment horizontal="right" wrapText="1"/>
    </xf>
    <xf numFmtId="0" fontId="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94"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94" fontId="140" fillId="0" borderId="0" applyNumberFormat="0" applyFill="0" applyBorder="0" applyAlignment="0" applyProtection="0">
      <alignment vertical="top"/>
      <protection locked="0"/>
    </xf>
    <xf numFmtId="185" fontId="141" fillId="0" borderId="0">
      <alignment wrapText="1"/>
    </xf>
    <xf numFmtId="10" fontId="53" fillId="36" borderId="26" applyNumberFormat="0" applyBorder="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194" fontId="144" fillId="60" borderId="34" applyNumberFormat="0" applyAlignment="0" applyProtection="0"/>
    <xf numFmtId="194" fontId="144" fillId="60" borderId="34" applyNumberFormat="0" applyAlignment="0" applyProtection="0"/>
    <xf numFmtId="0" fontId="53" fillId="0" borderId="0" applyNumberFormat="0" applyFill="0" applyBorder="0" applyAlignment="0">
      <protection locked="0"/>
    </xf>
    <xf numFmtId="0" fontId="145" fillId="34" borderId="0"/>
    <xf numFmtId="244" fontId="64" fillId="86" borderId="0">
      <protection locked="0"/>
    </xf>
    <xf numFmtId="300" fontId="41" fillId="0" borderId="0"/>
    <xf numFmtId="0" fontId="146" fillId="0" borderId="0"/>
    <xf numFmtId="38" fontId="147" fillId="0" borderId="0"/>
    <xf numFmtId="38" fontId="148" fillId="0" borderId="0"/>
    <xf numFmtId="38" fontId="149" fillId="0" borderId="0"/>
    <xf numFmtId="38" fontId="150" fillId="0" borderId="0"/>
    <xf numFmtId="0" fontId="67" fillId="0" borderId="0"/>
    <xf numFmtId="0" fontId="67" fillId="0" borderId="0"/>
    <xf numFmtId="0" fontId="67" fillId="0" borderId="0"/>
    <xf numFmtId="0" fontId="43" fillId="0" borderId="0"/>
    <xf numFmtId="0" fontId="151" fillId="0" borderId="0"/>
    <xf numFmtId="0" fontId="152" fillId="0" borderId="0">
      <alignment horizontal="center"/>
    </xf>
    <xf numFmtId="301" fontId="153" fillId="0" borderId="0" applyFont="0" applyFill="0" applyBorder="0" applyAlignment="0" applyProtection="0"/>
    <xf numFmtId="185" fontId="9" fillId="0" borderId="0" applyNumberFormat="0" applyFont="0" applyFill="0" applyBorder="0" applyProtection="0">
      <alignment horizontal="left" vertical="center"/>
    </xf>
    <xf numFmtId="173" fontId="36" fillId="2" borderId="0"/>
    <xf numFmtId="173" fontId="37" fillId="53" borderId="0"/>
    <xf numFmtId="185" fontId="53" fillId="46" borderId="0"/>
    <xf numFmtId="38" fontId="154" fillId="0" borderId="0" applyNumberFormat="0" applyFill="0" applyBorder="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194" fontId="157" fillId="0" borderId="36" applyNumberFormat="0" applyFill="0" applyAlignment="0" applyProtection="0"/>
    <xf numFmtId="0" fontId="98" fillId="87" borderId="0" applyAlignment="0" applyProtection="0">
      <alignment horizontal="right" vertical="center"/>
    </xf>
    <xf numFmtId="201" fontId="54" fillId="0" borderId="0" applyFont="0" applyFill="0" applyBorder="0" applyAlignment="0" applyProtection="0">
      <alignment horizontal="right"/>
    </xf>
    <xf numFmtId="302"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303"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40" fontId="158" fillId="0" borderId="0">
      <alignment horizontal="right"/>
    </xf>
    <xf numFmtId="37" fontId="159" fillId="0" borderId="0"/>
    <xf numFmtId="185" fontId="160" fillId="0" borderId="0">
      <alignment vertical="center"/>
    </xf>
    <xf numFmtId="185" fontId="9" fillId="0" borderId="0" applyNumberFormat="0" applyFill="0" applyBorder="0" applyAlignment="0" applyProtection="0"/>
    <xf numFmtId="169"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4" fontId="9" fillId="0" borderId="0" applyFont="0" applyFill="0" applyBorder="0" applyAlignment="0" applyProtection="0"/>
    <xf numFmtId="305" fontId="44" fillId="0" borderId="0">
      <alignment horizontal="right"/>
    </xf>
    <xf numFmtId="185" fontId="161" fillId="0" borderId="17"/>
    <xf numFmtId="306" fontId="49" fillId="0" borderId="0" applyFont="0" applyFill="0" applyBorder="0" applyAlignment="0" applyProtection="0"/>
    <xf numFmtId="307" fontId="4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8" fontId="53" fillId="36" borderId="0">
      <alignment horizontal="center"/>
    </xf>
    <xf numFmtId="309" fontId="41" fillId="0" borderId="0" applyFill="0" applyBorder="0" applyProtection="0">
      <alignment horizontal="center"/>
    </xf>
    <xf numFmtId="310" fontId="41" fillId="0" borderId="0" applyFont="0" applyFill="0" applyBorder="0" applyAlignment="0" applyProtection="0">
      <alignment horizontal="centerContinuous"/>
      <protection locked="0"/>
    </xf>
    <xf numFmtId="49" fontId="162" fillId="81" borderId="0" applyAlignment="0" applyProtection="0">
      <alignment horizontal="centerContinuous" vertical="center"/>
    </xf>
    <xf numFmtId="311" fontId="53" fillId="0" borderId="0" applyFont="0" applyFill="0" applyBorder="0" applyAlignment="0" applyProtection="0">
      <alignment horizontal="right"/>
    </xf>
    <xf numFmtId="0" fontId="81" fillId="0" borderId="0">
      <alignment horizontal="right"/>
    </xf>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194" fontId="164" fillId="18" borderId="0" applyNumberFormat="0" applyBorder="0" applyAlignment="0" applyProtection="0"/>
    <xf numFmtId="37" fontId="165" fillId="0" borderId="0"/>
    <xf numFmtId="298" fontId="166" fillId="0" borderId="0"/>
    <xf numFmtId="312" fontId="45" fillId="0" borderId="0"/>
    <xf numFmtId="312" fontId="45" fillId="0" borderId="9"/>
    <xf numFmtId="312" fontId="45" fillId="0" borderId="37"/>
    <xf numFmtId="312" fontId="45" fillId="0" borderId="0"/>
    <xf numFmtId="313" fontId="57" fillId="0" borderId="0"/>
    <xf numFmtId="314" fontId="57" fillId="0" borderId="0"/>
    <xf numFmtId="315" fontId="57" fillId="0" borderId="0"/>
    <xf numFmtId="316" fontId="53" fillId="0" borderId="0"/>
    <xf numFmtId="317" fontId="53" fillId="0" borderId="0"/>
    <xf numFmtId="38" fontId="9" fillId="0" borderId="0" applyFont="0" applyFill="0" applyBorder="0" applyAlignment="0" applyProtection="0"/>
    <xf numFmtId="0" fontId="7" fillId="0" borderId="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7"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2" fillId="0" borderId="0"/>
    <xf numFmtId="0" fontId="13"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9"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24"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12" fillId="0" borderId="0"/>
    <xf numFmtId="0" fontId="12" fillId="0" borderId="0"/>
    <xf numFmtId="0" fontId="12" fillId="0" borderId="0"/>
    <xf numFmtId="0" fontId="12" fillId="0" borderId="0"/>
    <xf numFmtId="0" fontId="12" fillId="0" borderId="0"/>
    <xf numFmtId="185"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9" fillId="0" borderId="0"/>
    <xf numFmtId="0" fontId="12" fillId="0" borderId="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12" fillId="0" borderId="0"/>
    <xf numFmtId="0" fontId="12"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94"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10" fillId="0" borderId="0"/>
    <xf numFmtId="194" fontId="10"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6" fillId="0" borderId="0"/>
    <xf numFmtId="0" fontId="9" fillId="0" borderId="0"/>
    <xf numFmtId="185" fontId="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194"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9" fontId="7" fillId="0" borderId="0"/>
    <xf numFmtId="179" fontId="24" fillId="0" borderId="0"/>
    <xf numFmtId="179" fontId="24" fillId="0" borderId="0"/>
    <xf numFmtId="179" fontId="24" fillId="0" borderId="0"/>
    <xf numFmtId="179" fontId="24" fillId="0" borderId="0"/>
    <xf numFmtId="179" fontId="24"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7" fillId="0" borderId="0"/>
    <xf numFmtId="0" fontId="28" fillId="0" borderId="0" applyFill="0" applyBorder="0" applyAlignment="0" applyProtection="0"/>
    <xf numFmtId="0" fontId="28"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24" fillId="0" borderId="0"/>
    <xf numFmtId="0" fontId="9" fillId="0" borderId="0"/>
    <xf numFmtId="0" fontId="9" fillId="0" borderId="0"/>
    <xf numFmtId="0" fontId="7" fillId="0" borderId="0"/>
    <xf numFmtId="0" fontId="9"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8" fillId="0" borderId="0"/>
    <xf numFmtId="0" fontId="9" fillId="0" borderId="0" applyNumberFormat="0" applyFont="0" applyFill="0" applyBorder="0" applyAlignment="0" applyProtection="0"/>
    <xf numFmtId="0" fontId="18" fillId="0" borderId="0"/>
    <xf numFmtId="0" fontId="18" fillId="0" borderId="0"/>
    <xf numFmtId="0" fontId="18" fillId="0" borderId="0"/>
    <xf numFmtId="0" fontId="6" fillId="0" borderId="0"/>
    <xf numFmtId="0" fontId="28" fillId="0" borderId="0"/>
    <xf numFmtId="0" fontId="28" fillId="0" borderId="0"/>
    <xf numFmtId="0" fontId="9" fillId="0" borderId="0" applyNumberFormat="0" applyFont="0" applyFill="0" applyBorder="0" applyAlignment="0" applyProtection="0"/>
    <xf numFmtId="0" fontId="2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8"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25"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318" fontId="55" fillId="0" borderId="37"/>
    <xf numFmtId="0" fontId="106" fillId="0" borderId="0" applyFill="0" applyBorder="0">
      <protection locked="0"/>
    </xf>
    <xf numFmtId="185" fontId="9" fillId="0" borderId="0"/>
    <xf numFmtId="185" fontId="168" fillId="0" borderId="0"/>
    <xf numFmtId="185" fontId="169" fillId="0" borderId="0"/>
    <xf numFmtId="185" fontId="170" fillId="0" borderId="0"/>
    <xf numFmtId="185" fontId="171" fillId="0" borderId="0"/>
    <xf numFmtId="185" fontId="50" fillId="0" borderId="0"/>
    <xf numFmtId="38" fontId="172" fillId="0" borderId="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194" fontId="9" fillId="34" borderId="38" applyNumberFormat="0" applyFont="0" applyAlignment="0" applyProtection="0"/>
    <xf numFmtId="194" fontId="9" fillId="34" borderId="38" applyNumberFormat="0" applyFont="0" applyAlignment="0" applyProtection="0"/>
    <xf numFmtId="0" fontId="173" fillId="83" borderId="0" applyAlignment="0" applyProtection="0">
      <alignment horizontal="left" vertical="top" wrapText="1"/>
    </xf>
    <xf numFmtId="285" fontId="9" fillId="45" borderId="39" applyFont="0" applyFill="0" applyBorder="0" applyAlignment="0" applyProtection="0">
      <protection locked="0"/>
    </xf>
    <xf numFmtId="37" fontId="9" fillId="0" borderId="0"/>
    <xf numFmtId="319" fontId="40" fillId="50" borderId="40" applyNumberFormat="0">
      <alignment vertical="center"/>
    </xf>
    <xf numFmtId="319" fontId="40" fillId="88" borderId="40" applyNumberFormat="0">
      <alignment vertical="center"/>
    </xf>
    <xf numFmtId="319" fontId="40" fillId="40" borderId="40" applyNumberFormat="0">
      <alignment vertical="center"/>
    </xf>
    <xf numFmtId="319" fontId="40" fillId="38" borderId="40" applyNumberFormat="0">
      <alignment vertical="center"/>
    </xf>
    <xf numFmtId="319" fontId="40" fillId="89" borderId="40" applyNumberFormat="0">
      <alignment vertical="center"/>
    </xf>
    <xf numFmtId="319" fontId="40" fillId="46" borderId="40" applyNumberFormat="0">
      <alignment vertical="center"/>
    </xf>
    <xf numFmtId="319" fontId="40" fillId="90" borderId="40" applyNumberFormat="0">
      <alignment vertical="center"/>
    </xf>
    <xf numFmtId="319" fontId="40" fillId="80" borderId="40" applyNumberFormat="0">
      <alignment vertical="center"/>
    </xf>
    <xf numFmtId="319" fontId="40" fillId="91" borderId="40" applyNumberFormat="0">
      <alignment vertical="center"/>
    </xf>
    <xf numFmtId="319" fontId="40" fillId="92" borderId="40" applyNumberFormat="0">
      <alignment vertical="center"/>
    </xf>
    <xf numFmtId="319" fontId="174" fillId="45" borderId="40">
      <protection locked="0"/>
    </xf>
    <xf numFmtId="319" fontId="174" fillId="37" borderId="40">
      <protection locked="0"/>
    </xf>
    <xf numFmtId="319" fontId="175" fillId="37" borderId="41" applyNumberFormat="0" applyFont="0" applyFill="0" applyAlignment="0" applyProtection="0">
      <protection locked="0"/>
    </xf>
    <xf numFmtId="319" fontId="81" fillId="0" borderId="0" applyNumberFormat="0" applyFill="0">
      <alignment horizontal="left" vertical="top"/>
    </xf>
    <xf numFmtId="0" fontId="176" fillId="93" borderId="0" applyNumberFormat="0">
      <alignment horizontal="left" vertical="center" indent="1"/>
    </xf>
    <xf numFmtId="0" fontId="177" fillId="94" borderId="0" applyNumberFormat="0">
      <alignment vertical="center"/>
    </xf>
    <xf numFmtId="0" fontId="78" fillId="46" borderId="0">
      <alignment vertical="center"/>
    </xf>
    <xf numFmtId="0" fontId="178" fillId="0" borderId="42">
      <alignment vertical="center"/>
    </xf>
    <xf numFmtId="0" fontId="39" fillId="95" borderId="26" applyNumberFormat="0" applyFont="0" applyAlignment="0">
      <alignment vertical="center"/>
    </xf>
    <xf numFmtId="0" fontId="39" fillId="45" borderId="26" applyNumberFormat="0" applyFont="0" applyAlignment="0">
      <alignment vertical="center"/>
    </xf>
    <xf numFmtId="0" fontId="39" fillId="37" borderId="26" applyNumberFormat="0" applyFont="0" applyAlignment="0">
      <alignment vertical="center"/>
    </xf>
    <xf numFmtId="0" fontId="39" fillId="96" borderId="26" applyNumberFormat="0" applyFont="0" applyAlignment="0">
      <alignment vertical="center"/>
    </xf>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97" borderId="0">
      <alignment horizontal="right"/>
    </xf>
    <xf numFmtId="0" fontId="179" fillId="0" borderId="0">
      <alignment horizontal="left"/>
    </xf>
    <xf numFmtId="3" fontId="180" fillId="0" borderId="0" applyFill="0" applyBorder="0" applyAlignment="0" applyProtection="0"/>
    <xf numFmtId="185" fontId="181" fillId="12" borderId="43" applyNumberFormat="0" applyBorder="0" applyAlignment="0">
      <alignment horizontal="center"/>
      <protection hidden="1"/>
    </xf>
    <xf numFmtId="185" fontId="182" fillId="0" borderId="43" applyNumberFormat="0" applyBorder="0" applyAlignment="0">
      <alignment horizontal="center"/>
      <protection locked="0"/>
    </xf>
    <xf numFmtId="2" fontId="183" fillId="50" borderId="11">
      <alignment horizontal="left"/>
    </xf>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194" fontId="185" fillId="61" borderId="44" applyNumberFormat="0" applyAlignment="0" applyProtection="0"/>
    <xf numFmtId="194" fontId="185" fillId="61" borderId="44" applyNumberFormat="0" applyAlignment="0" applyProtection="0"/>
    <xf numFmtId="40" fontId="18" fillId="33" borderId="0">
      <alignment horizontal="right"/>
    </xf>
    <xf numFmtId="185" fontId="186" fillId="98" borderId="0">
      <alignment horizontal="center"/>
    </xf>
    <xf numFmtId="185" fontId="187" fillId="99" borderId="0"/>
    <xf numFmtId="185" fontId="188" fillId="33" borderId="0" applyBorder="0">
      <alignment horizontal="centerContinuous"/>
    </xf>
    <xf numFmtId="185" fontId="189" fillId="99" borderId="0" applyBorder="0">
      <alignment horizontal="centerContinuous"/>
    </xf>
    <xf numFmtId="320" fontId="9" fillId="0" borderId="0"/>
    <xf numFmtId="320" fontId="9" fillId="0" borderId="0"/>
    <xf numFmtId="320" fontId="9" fillId="0" borderId="0"/>
    <xf numFmtId="320" fontId="9" fillId="0" borderId="0"/>
    <xf numFmtId="176" fontId="9" fillId="0" borderId="0"/>
    <xf numFmtId="176" fontId="9" fillId="0" borderId="0"/>
    <xf numFmtId="176" fontId="9" fillId="0" borderId="0"/>
    <xf numFmtId="176" fontId="9" fillId="0" borderId="0"/>
    <xf numFmtId="176" fontId="9" fillId="0" borderId="0"/>
    <xf numFmtId="320" fontId="9" fillId="0" borderId="0"/>
    <xf numFmtId="185" fontId="41" fillId="100" borderId="0" applyNumberFormat="0" applyFont="0" applyBorder="0" applyAlignment="0"/>
    <xf numFmtId="1" fontId="190" fillId="0" borderId="0" applyProtection="0">
      <alignment horizontal="right" vertical="center"/>
    </xf>
    <xf numFmtId="197" fontId="191" fillId="0" borderId="0">
      <alignment horizontal="left"/>
    </xf>
    <xf numFmtId="321" fontId="44" fillId="0" borderId="0"/>
    <xf numFmtId="322" fontId="44" fillId="0" borderId="0"/>
    <xf numFmtId="166" fontId="9" fillId="0" borderId="0" applyFont="0" applyFill="0" applyBorder="0" applyAlignment="0" applyProtection="0"/>
    <xf numFmtId="168" fontId="9" fillId="0" borderId="0" applyFont="0" applyFill="0" applyBorder="0" applyAlignment="0" applyProtection="0"/>
    <xf numFmtId="175" fontId="45" fillId="0" borderId="0" applyFont="0" applyFill="0" applyBorder="0" applyAlignment="0" applyProtection="0">
      <protection locked="0"/>
    </xf>
    <xf numFmtId="10" fontId="45" fillId="0" borderId="0" applyFont="0" applyFill="0" applyBorder="0" applyAlignment="0" applyProtection="0">
      <protection locked="0"/>
    </xf>
    <xf numFmtId="10" fontId="9"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3" fontId="57" fillId="0" borderId="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24" fontId="64" fillId="80" borderId="0" applyBorder="0" applyAlignment="0">
      <protection locked="0"/>
    </xf>
    <xf numFmtId="9" fontId="57" fillId="0" borderId="0"/>
    <xf numFmtId="175" fontId="57" fillId="0" borderId="0"/>
    <xf numFmtId="10" fontId="57" fillId="0" borderId="0"/>
    <xf numFmtId="325" fontId="9" fillId="0" borderId="0" applyFont="0" applyFill="0" applyBorder="0" applyAlignment="0" applyProtection="0"/>
    <xf numFmtId="326" fontId="55" fillId="0" borderId="0"/>
    <xf numFmtId="327" fontId="55" fillId="0" borderId="0"/>
    <xf numFmtId="327" fontId="57" fillId="0" borderId="0"/>
    <xf numFmtId="328" fontId="9" fillId="0" borderId="0" applyBorder="0">
      <alignment horizontal="right"/>
    </xf>
    <xf numFmtId="329" fontId="53" fillId="0" borderId="0" applyBorder="0"/>
    <xf numFmtId="10" fontId="9" fillId="50" borderId="0"/>
    <xf numFmtId="185" fontId="9" fillId="0" borderId="0">
      <protection locked="0"/>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330" fontId="7" fillId="101" borderId="6">
      <alignment vertical="center"/>
    </xf>
    <xf numFmtId="0"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2"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0" fontId="9" fillId="32" borderId="3" applyNumberFormat="0" applyProtection="0">
      <alignment horizontal="left" vertical="center" indent="1"/>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2"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101" borderId="6">
      <alignment vertical="center"/>
    </xf>
    <xf numFmtId="331"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101" borderId="6">
      <alignment vertical="center"/>
    </xf>
    <xf numFmtId="331" fontId="24"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332" fontId="44" fillId="0" borderId="0">
      <alignment horizontal="right"/>
    </xf>
    <xf numFmtId="40" fontId="9" fillId="0" borderId="0"/>
    <xf numFmtId="1" fontId="192" fillId="46" borderId="0">
      <alignment horizontal="center"/>
    </xf>
    <xf numFmtId="185"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185" fontId="193" fillId="0" borderId="17">
      <alignment horizontal="center"/>
    </xf>
    <xf numFmtId="3" fontId="49" fillId="0" borderId="0" applyFont="0" applyFill="0" applyBorder="0" applyAlignment="0" applyProtection="0"/>
    <xf numFmtId="185" fontId="49" fillId="102" borderId="0" applyNumberFormat="0" applyFont="0" applyBorder="0" applyAlignment="0" applyProtection="0"/>
    <xf numFmtId="333" fontId="44" fillId="46" borderId="0"/>
    <xf numFmtId="334" fontId="20" fillId="46" borderId="0" applyFill="0"/>
    <xf numFmtId="185" fontId="194" fillId="0" borderId="0">
      <alignment horizontal="left" indent="7"/>
    </xf>
    <xf numFmtId="185" fontId="20" fillId="0" borderId="0" applyFill="0">
      <alignment horizontal="left" indent="7"/>
    </xf>
    <xf numFmtId="334" fontId="64" fillId="0" borderId="28">
      <alignment horizontal="right"/>
    </xf>
    <xf numFmtId="185" fontId="64" fillId="0" borderId="26" applyNumberFormat="0" applyFont="0" applyBorder="0">
      <alignment horizontal="right"/>
    </xf>
    <xf numFmtId="185" fontId="195" fillId="0" borderId="0" applyFill="0"/>
    <xf numFmtId="185" fontId="64" fillId="0" borderId="0" applyFill="0"/>
    <xf numFmtId="334" fontId="17" fillId="0" borderId="28" applyFill="0"/>
    <xf numFmtId="185" fontId="9" fillId="0" borderId="0" applyNumberFormat="0" applyFont="0" applyBorder="0" applyAlignment="0"/>
    <xf numFmtId="185" fontId="196" fillId="0" borderId="0" applyFill="0">
      <alignment horizontal="left" indent="1"/>
    </xf>
    <xf numFmtId="185" fontId="17" fillId="0" borderId="0">
      <alignment horizontal="left" indent="1"/>
    </xf>
    <xf numFmtId="334" fontId="64" fillId="0" borderId="28" applyFill="0"/>
    <xf numFmtId="185" fontId="9" fillId="0" borderId="0" applyNumberFormat="0" applyFont="0" applyFill="0" applyBorder="0" applyAlignment="0"/>
    <xf numFmtId="185" fontId="195" fillId="0" borderId="0" applyFill="0">
      <alignment horizontal="left" indent="2"/>
    </xf>
    <xf numFmtId="185" fontId="64" fillId="0" borderId="0" applyFill="0">
      <alignment horizontal="left" indent="2"/>
    </xf>
    <xf numFmtId="334" fontId="17" fillId="0" borderId="28" applyFill="0"/>
    <xf numFmtId="185" fontId="9" fillId="0" borderId="0" applyNumberFormat="0" applyFont="0" applyBorder="0" applyAlignment="0"/>
    <xf numFmtId="185" fontId="196" fillId="0" borderId="0">
      <alignment horizontal="left" indent="3"/>
    </xf>
    <xf numFmtId="185" fontId="17" fillId="0" borderId="0" applyFill="0">
      <alignment horizontal="left" indent="3"/>
    </xf>
    <xf numFmtId="334" fontId="64" fillId="0" borderId="28" applyFill="0"/>
    <xf numFmtId="185" fontId="9" fillId="0" borderId="0" applyNumberFormat="0" applyFont="0" applyBorder="0" applyAlignment="0"/>
    <xf numFmtId="185" fontId="195" fillId="0" borderId="0">
      <alignment horizontal="left" indent="4"/>
    </xf>
    <xf numFmtId="185" fontId="64" fillId="0" borderId="0" applyFill="0">
      <alignment horizontal="left" indent="4"/>
    </xf>
    <xf numFmtId="334" fontId="17" fillId="0" borderId="28" applyFill="0"/>
    <xf numFmtId="185" fontId="9" fillId="0" borderId="0" applyNumberFormat="0" applyFont="0" applyBorder="0" applyAlignment="0"/>
    <xf numFmtId="185" fontId="196" fillId="0" borderId="0">
      <alignment horizontal="left" indent="5"/>
    </xf>
    <xf numFmtId="185" fontId="17" fillId="0" borderId="0" applyFill="0">
      <alignment horizontal="left" indent="5"/>
    </xf>
    <xf numFmtId="334" fontId="64" fillId="0" borderId="28" applyFill="0"/>
    <xf numFmtId="185" fontId="9" fillId="0" borderId="0" applyNumberFormat="0" applyFont="0" applyFill="0" applyBorder="0" applyAlignment="0"/>
    <xf numFmtId="185" fontId="64" fillId="0" borderId="0" applyFill="0">
      <alignment horizontal="left" indent="6"/>
    </xf>
    <xf numFmtId="335" fontId="44" fillId="46" borderId="11">
      <alignment horizontal="right"/>
    </xf>
    <xf numFmtId="0" fontId="197" fillId="0" borderId="0"/>
    <xf numFmtId="14" fontId="198" fillId="0" borderId="0" applyNumberFormat="0" applyFill="0" applyBorder="0" applyAlignment="0" applyProtection="0">
      <alignment horizontal="left"/>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4"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3" borderId="26">
      <alignment vertical="center"/>
    </xf>
    <xf numFmtId="331" fontId="24"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43" borderId="26">
      <alignment vertical="center"/>
    </xf>
    <xf numFmtId="331" fontId="24"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336" fontId="24" fillId="0" borderId="0">
      <protection locked="0"/>
    </xf>
    <xf numFmtId="338" fontId="199"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1" fillId="0" borderId="46">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9" fillId="45"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202"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4" fontId="203" fillId="45"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4" fontId="203" fillId="103" borderId="0" applyNumberFormat="0" applyProtection="0">
      <alignment horizontal="left" vertical="center" indent="1"/>
    </xf>
    <xf numFmtId="4" fontId="203" fillId="103" borderId="0" applyNumberFormat="0" applyProtection="0">
      <alignment horizontal="left" vertical="center" indent="1"/>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203" fillId="104"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203" fillId="89"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203" fillId="86"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203" fillId="38"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203" fillId="90"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203" fillId="37"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203" fillId="91"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203" fillId="105"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203" fillId="97"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19" fillId="106" borderId="4" applyNumberFormat="0" applyProtection="0">
      <alignment horizontal="left" vertical="center" indent="1"/>
    </xf>
    <xf numFmtId="4" fontId="19" fillId="106" borderId="4" applyNumberFormat="0" applyProtection="0">
      <alignment horizontal="left" vertical="center" indent="1"/>
    </xf>
    <xf numFmtId="4" fontId="19" fillId="40" borderId="0" applyNumberFormat="0" applyProtection="0">
      <alignment horizontal="left" vertical="center" indent="1"/>
    </xf>
    <xf numFmtId="4" fontId="19" fillId="40" borderId="0" applyNumberFormat="0" applyProtection="0">
      <alignment horizontal="left" vertical="center" indent="1"/>
    </xf>
    <xf numFmtId="4" fontId="19" fillId="103" borderId="0" applyNumberFormat="0" applyProtection="0">
      <alignment horizontal="left" vertical="center" indent="1"/>
    </xf>
    <xf numFmtId="4" fontId="19" fillId="103" borderId="0" applyNumberFormat="0" applyProtection="0">
      <alignment horizontal="left" vertical="center" indent="1"/>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203" fillId="40"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18" fillId="30" borderId="0" applyNumberFormat="0" applyProtection="0">
      <alignment horizontal="left" vertical="center" indent="1"/>
    </xf>
    <xf numFmtId="4" fontId="53" fillId="30" borderId="47" applyNumberFormat="0" applyProtection="0">
      <alignment horizontal="left" vertical="center" indent="1"/>
    </xf>
    <xf numFmtId="4" fontId="18" fillId="19" borderId="0" applyNumberFormat="0" applyProtection="0">
      <alignment horizontal="left" vertical="center" indent="1"/>
    </xf>
    <xf numFmtId="4" fontId="53" fillId="19" borderId="47"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53" fillId="61" borderId="48" applyNumberFormat="0" applyProtection="0">
      <alignment horizontal="left" vertical="center"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53"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53" fillId="83" borderId="48" applyNumberFormat="0" applyProtection="0">
      <alignment horizontal="left" vertical="center"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53"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53" fillId="32" borderId="48" applyNumberFormat="0" applyProtection="0">
      <alignment horizontal="left" vertical="center"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53"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53" fillId="30" borderId="48" applyNumberFormat="0" applyProtection="0">
      <alignment horizontal="left" vertical="center"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53" fillId="30" borderId="3" applyNumberFormat="0" applyProtection="0">
      <alignment horizontal="left" vertical="top" indent="1"/>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53" fillId="33" borderId="49" applyNumberFormat="0">
      <protection locked="0"/>
    </xf>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3" fillId="107"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4" fontId="19" fillId="40" borderId="51"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3" fillId="107"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4" fontId="19" fillId="40"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185" fontId="53" fillId="109" borderId="6"/>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05" fillId="107" borderId="3" applyNumberFormat="0" applyProtection="0">
      <alignment horizontal="right" vertical="center"/>
    </xf>
    <xf numFmtId="38" fontId="206" fillId="0" borderId="52">
      <alignment horizontal="center"/>
    </xf>
    <xf numFmtId="185" fontId="207" fillId="110" borderId="0"/>
    <xf numFmtId="185" fontId="78" fillId="0" borderId="0"/>
    <xf numFmtId="38" fontId="49" fillId="0" borderId="0" applyFont="0" applyFill="0" applyBorder="0" applyAlignment="0" applyProtection="0"/>
    <xf numFmtId="40" fontId="146" fillId="0" borderId="0" applyFont="0" applyFill="0" applyBorder="0" applyAlignment="0" applyProtection="0"/>
    <xf numFmtId="318" fontId="55" fillId="111" borderId="0" applyFont="0"/>
    <xf numFmtId="185" fontId="208" fillId="0" borderId="0"/>
    <xf numFmtId="0" fontId="9" fillId="0" borderId="0" applyNumberFormat="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 fontId="9" fillId="0" borderId="0"/>
    <xf numFmtId="185" fontId="49" fillId="0" borderId="0">
      <alignment textRotation="90"/>
    </xf>
    <xf numFmtId="0" fontId="98" fillId="81" borderId="0" applyAlignment="0" applyProtection="0">
      <alignment horizontal="right" vertical="center"/>
    </xf>
    <xf numFmtId="195" fontId="58" fillId="0" borderId="0">
      <alignment vertical="center"/>
    </xf>
    <xf numFmtId="0" fontId="9" fillId="112" borderId="0"/>
    <xf numFmtId="339" fontId="18" fillId="0" borderId="0" applyFill="0" applyBorder="0" applyAlignment="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5" fontId="9" fillId="0" borderId="0" applyFont="0" applyFill="0" applyBorder="0" applyAlignment="0" applyProtection="0"/>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38" fontId="9" fillId="0" borderId="0" applyFont="0" applyFill="0" applyBorder="0" applyAlignment="0" applyProtection="0"/>
    <xf numFmtId="185" fontId="9" fillId="0" borderId="0">
      <alignment vertical="top"/>
    </xf>
    <xf numFmtId="185" fontId="210" fillId="50" borderId="0" applyNumberFormat="0" applyProtection="0">
      <alignment horizontal="center" vertical="center"/>
    </xf>
    <xf numFmtId="4" fontId="18" fillId="50" borderId="0" applyProtection="0">
      <alignment horizontal="center" vertical="center"/>
    </xf>
    <xf numFmtId="185" fontId="211" fillId="50" borderId="0" applyNumberFormat="0" applyProtection="0">
      <alignment horizontal="center" vertical="center"/>
    </xf>
    <xf numFmtId="4" fontId="20" fillId="50" borderId="0" applyProtection="0">
      <alignment horizontal="center" vertical="center"/>
    </xf>
    <xf numFmtId="185" fontId="212" fillId="113" borderId="0" applyNumberFormat="0" applyProtection="0">
      <alignment horizontal="center" vertical="center"/>
    </xf>
    <xf numFmtId="4" fontId="22" fillId="113" borderId="0" applyProtection="0">
      <alignment horizontal="center" vertical="center"/>
    </xf>
    <xf numFmtId="185" fontId="209" fillId="50" borderId="0" applyNumberFormat="0" applyProtection="0">
      <alignment horizontal="center" vertical="center"/>
    </xf>
    <xf numFmtId="4" fontId="213" fillId="50" borderId="0" applyProtection="0">
      <alignment horizontal="center" vertical="center"/>
    </xf>
    <xf numFmtId="185" fontId="214" fillId="114" borderId="0" applyNumberFormat="0" applyProtection="0">
      <alignment horizontal="center" vertical="center"/>
    </xf>
    <xf numFmtId="4" fontId="61" fillId="114" borderId="0" applyProtection="0">
      <alignment horizontal="center" vertical="center"/>
    </xf>
    <xf numFmtId="185" fontId="16" fillId="50" borderId="0" applyNumberFormat="0" applyProtection="0">
      <alignment horizontal="center" vertical="center" wrapText="1"/>
    </xf>
    <xf numFmtId="185" fontId="17" fillId="50" borderId="0" applyNumberFormat="0" applyProtection="0">
      <alignment horizontal="center" vertical="center" wrapText="1"/>
    </xf>
    <xf numFmtId="185" fontId="141" fillId="113" borderId="0" applyNumberFormat="0" applyProtection="0">
      <alignment horizontal="center" vertical="center" wrapText="1"/>
    </xf>
    <xf numFmtId="185" fontId="215" fillId="50" borderId="0" applyNumberFormat="0" applyProtection="0">
      <alignment horizontal="center" vertical="center" wrapText="1"/>
    </xf>
    <xf numFmtId="185" fontId="16" fillId="50" borderId="0" applyNumberFormat="0" applyProtection="0">
      <alignment horizontal="center" vertical="center" wrapText="1"/>
    </xf>
    <xf numFmtId="4" fontId="216" fillId="50" borderId="0" applyProtection="0">
      <alignment horizontal="center" vertical="top" wrapText="1"/>
    </xf>
    <xf numFmtId="185" fontId="17" fillId="50" borderId="0" applyNumberFormat="0" applyProtection="0">
      <alignment horizontal="center" vertical="center" wrapText="1"/>
    </xf>
    <xf numFmtId="4" fontId="217" fillId="50" borderId="0" applyProtection="0">
      <alignment horizontal="center" vertical="top" wrapText="1"/>
    </xf>
    <xf numFmtId="185" fontId="141" fillId="113" borderId="0" applyNumberFormat="0" applyProtection="0">
      <alignment horizontal="center" vertical="center" wrapText="1"/>
    </xf>
    <xf numFmtId="4" fontId="218" fillId="113" borderId="0" applyProtection="0">
      <alignment horizontal="center" vertical="top" wrapText="1"/>
    </xf>
    <xf numFmtId="185" fontId="215" fillId="50" borderId="0" applyNumberFormat="0" applyProtection="0">
      <alignment horizontal="center" vertical="center" wrapText="1"/>
    </xf>
    <xf numFmtId="4" fontId="219" fillId="50" borderId="0" applyProtection="0">
      <alignment horizontal="center" vertical="top" wrapText="1"/>
    </xf>
    <xf numFmtId="185" fontId="187" fillId="114" borderId="0" applyNumberFormat="0" applyProtection="0">
      <alignment horizontal="center" vertical="center" wrapText="1"/>
    </xf>
    <xf numFmtId="4" fontId="220" fillId="114" borderId="0" applyProtection="0">
      <alignment horizontal="center" vertical="top" wrapText="1"/>
    </xf>
    <xf numFmtId="185" fontId="16" fillId="104" borderId="0" applyNumberFormat="0" applyProtection="0">
      <alignment horizontal="center" vertical="center" wrapText="1"/>
    </xf>
    <xf numFmtId="4" fontId="216" fillId="104" borderId="0" applyProtection="0">
      <alignment horizontal="center" vertical="top" wrapText="1"/>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85" fontId="221" fillId="0" borderId="0"/>
    <xf numFmtId="185" fontId="222" fillId="40" borderId="0"/>
    <xf numFmtId="185" fontId="223" fillId="0" borderId="0">
      <alignment horizontal="left" vertical="center"/>
    </xf>
    <xf numFmtId="256" fontId="78" fillId="0" borderId="0"/>
    <xf numFmtId="185" fontId="107" fillId="0" borderId="0"/>
    <xf numFmtId="185" fontId="78" fillId="0" borderId="0">
      <alignment horizontal="center"/>
    </xf>
    <xf numFmtId="37" fontId="64" fillId="0" borderId="53" applyNumberFormat="0"/>
    <xf numFmtId="40" fontId="9" fillId="0" borderId="0" applyBorder="0">
      <alignment horizontal="right"/>
    </xf>
    <xf numFmtId="37" fontId="64" fillId="0" borderId="53" applyNumberFormat="0"/>
    <xf numFmtId="40" fontId="224" fillId="0" borderId="0" applyBorder="0">
      <alignment horizontal="right"/>
    </xf>
    <xf numFmtId="0" fontId="225" fillId="0" borderId="5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16" fillId="46" borderId="6">
      <protection locked="0"/>
    </xf>
    <xf numFmtId="0" fontId="216" fillId="46" borderId="6">
      <protection locked="0"/>
    </xf>
    <xf numFmtId="185" fontId="226" fillId="0" borderId="0" applyBorder="0" applyProtection="0">
      <alignment vertical="center"/>
    </xf>
    <xf numFmtId="185" fontId="226" fillId="0" borderId="9" applyBorder="0" applyProtection="0">
      <alignment horizontal="right" vertical="center"/>
    </xf>
    <xf numFmtId="185" fontId="227" fillId="115" borderId="0" applyBorder="0" applyProtection="0">
      <alignment horizontal="centerContinuous" vertical="center"/>
    </xf>
    <xf numFmtId="185" fontId="227" fillId="114" borderId="9" applyBorder="0" applyProtection="0">
      <alignment horizontal="centerContinuous" vertical="center"/>
    </xf>
    <xf numFmtId="185" fontId="228" fillId="0" borderId="0"/>
    <xf numFmtId="185" fontId="169" fillId="0" borderId="0"/>
    <xf numFmtId="185" fontId="229" fillId="0" borderId="0" applyFill="0" applyBorder="0" applyProtection="0">
      <alignment horizontal="left"/>
    </xf>
    <xf numFmtId="185" fontId="114" fillId="0" borderId="10" applyFill="0" applyBorder="0" applyProtection="0">
      <alignment horizontal="left" vertical="top"/>
    </xf>
    <xf numFmtId="185" fontId="230" fillId="0" borderId="0">
      <alignment horizontal="centerContinuous"/>
    </xf>
    <xf numFmtId="49" fontId="231" fillId="0" borderId="0"/>
    <xf numFmtId="49" fontId="41" fillId="0" borderId="0" applyFont="0" applyFill="0" applyBorder="0" applyAlignment="0" applyProtection="0"/>
    <xf numFmtId="185" fontId="232" fillId="0" borderId="0"/>
    <xf numFmtId="49" fontId="41" fillId="0" borderId="0" applyFont="0" applyFill="0" applyBorder="0" applyAlignment="0" applyProtection="0"/>
    <xf numFmtId="185" fontId="233" fillId="0" borderId="0"/>
    <xf numFmtId="0" fontId="93" fillId="83" borderId="0" applyAlignment="0" applyProtection="0"/>
    <xf numFmtId="0" fontId="53" fillId="83" borderId="0" applyAlignment="0" applyProtection="0">
      <alignment horizontal="left"/>
    </xf>
    <xf numFmtId="0" fontId="53" fillId="83" borderId="0" applyAlignment="0" applyProtection="0">
      <alignment horizontal="left" indent="1"/>
    </xf>
    <xf numFmtId="0" fontId="53" fillId="83" borderId="0" applyAlignment="0" applyProtection="0">
      <alignment horizontal="left" vertical="center" indent="2"/>
    </xf>
    <xf numFmtId="340" fontId="78" fillId="0" borderId="0" applyFont="0" applyFill="0" applyBorder="0" applyAlignment="0" applyProtection="0"/>
    <xf numFmtId="0" fontId="234" fillId="0" borderId="0">
      <alignment horizontal="center"/>
    </xf>
    <xf numFmtId="15" fontId="234" fillId="0" borderId="0">
      <alignment horizontal="center"/>
    </xf>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35"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5" fillId="0" borderId="0" applyNumberFormat="0" applyFill="0" applyBorder="0" applyAlignment="0" applyProtection="0"/>
    <xf numFmtId="0" fontId="9" fillId="0" borderId="0" applyNumberFormat="0" applyFont="0" applyFill="0" applyBorder="0" applyAlignment="0" applyProtection="0"/>
    <xf numFmtId="185" fontId="236" fillId="36" borderId="0">
      <alignment horizontal="right"/>
    </xf>
    <xf numFmtId="178" fontId="182" fillId="0" borderId="0"/>
    <xf numFmtId="185" fontId="237" fillId="0" borderId="0"/>
    <xf numFmtId="341" fontId="238" fillId="0" borderId="0"/>
    <xf numFmtId="197" fontId="9" fillId="0" borderId="53" applyNumberFormat="0" applyFont="0" applyFill="0" applyAlignment="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9" fillId="0" borderId="56" applyNumberFormat="0" applyFill="0" applyAlignment="0" applyProtection="0"/>
    <xf numFmtId="194" fontId="239" fillId="0" borderId="56" applyNumberFormat="0" applyFill="0" applyAlignment="0" applyProtection="0"/>
    <xf numFmtId="0" fontId="9" fillId="0" borderId="0" applyNumberFormat="0" applyFont="0" applyFill="0" applyBorder="0" applyAlignment="0" applyProtection="0"/>
    <xf numFmtId="37" fontId="64" fillId="0" borderId="57" applyNumberFormat="0" applyFill="0"/>
    <xf numFmtId="316" fontId="92" fillId="0" borderId="58" applyAlignment="0"/>
    <xf numFmtId="317" fontId="92" fillId="0" borderId="58" applyAlignment="0"/>
    <xf numFmtId="178" fontId="51" fillId="0" borderId="58"/>
    <xf numFmtId="342" fontId="54" fillId="0" borderId="0" applyFont="0" applyFill="0" applyBorder="0" applyAlignment="0" applyProtection="0">
      <alignment horizontal="right"/>
    </xf>
    <xf numFmtId="185" fontId="240" fillId="0" borderId="0">
      <alignment horizontal="fill"/>
    </xf>
    <xf numFmtId="37" fontId="53" fillId="45" borderId="0" applyNumberFormat="0" applyBorder="0" applyAlignment="0" applyProtection="0"/>
    <xf numFmtId="37" fontId="53" fillId="0" borderId="0"/>
    <xf numFmtId="37" fontId="53" fillId="46" borderId="0" applyNumberFormat="0" applyBorder="0" applyAlignment="0" applyProtection="0"/>
    <xf numFmtId="3" fontId="132" fillId="0" borderId="33" applyProtection="0"/>
    <xf numFmtId="4" fontId="51" fillId="0" borderId="0">
      <protection locked="0"/>
    </xf>
    <xf numFmtId="343" fontId="192" fillId="46" borderId="10" applyBorder="0">
      <alignment horizontal="right" vertical="center"/>
      <protection locked="0"/>
    </xf>
    <xf numFmtId="185" fontId="9" fillId="0" borderId="0">
      <alignment vertical="top"/>
    </xf>
    <xf numFmtId="185" fontId="241" fillId="0" borderId="0" applyFont="0" applyFill="0" applyBorder="0" applyAlignment="0" applyProtection="0"/>
    <xf numFmtId="249" fontId="117" fillId="0" borderId="0" applyFont="0" applyFill="0" applyBorder="0" applyAlignment="0" applyProtection="0"/>
    <xf numFmtId="344" fontId="117" fillId="0" borderId="0" applyFont="0" applyFill="0" applyBorder="0" applyAlignment="0" applyProtection="0"/>
    <xf numFmtId="345" fontId="117" fillId="0" borderId="0" applyFont="0" applyFill="0" applyBorder="0" applyAlignment="0" applyProtection="0"/>
    <xf numFmtId="208" fontId="53" fillId="0" borderId="0"/>
    <xf numFmtId="185" fontId="242" fillId="0" borderId="0"/>
    <xf numFmtId="346" fontId="9" fillId="0" borderId="0" applyFont="0" applyFill="0" applyBorder="0" applyAlignment="0" applyProtection="0"/>
    <xf numFmtId="257" fontId="9" fillId="0" borderId="0" applyFont="0" applyFill="0" applyBorder="0" applyAlignment="0" applyProtection="0"/>
    <xf numFmtId="0" fontId="24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3" fillId="0" borderId="0" applyNumberFormat="0" applyFill="0" applyBorder="0" applyAlignment="0" applyProtection="0"/>
    <xf numFmtId="0" fontId="9" fillId="34" borderId="0" applyNumberFormat="0" applyFont="0" applyBorder="0" applyAlignment="0" applyProtection="0"/>
    <xf numFmtId="172" fontId="7" fillId="43" borderId="26">
      <alignment vertical="center"/>
    </xf>
    <xf numFmtId="172" fontId="7" fillId="3" borderId="26">
      <alignment vertical="center"/>
      <protection locked="0"/>
    </xf>
    <xf numFmtId="0" fontId="12" fillId="0" borderId="0"/>
    <xf numFmtId="0" fontId="28" fillId="0" borderId="0"/>
    <xf numFmtId="173" fontId="249" fillId="0" borderId="0" applyFill="0" applyBorder="0">
      <alignment vertical="center"/>
    </xf>
    <xf numFmtId="10" fontId="36" fillId="0" borderId="0" applyFont="0" applyFill="0" applyBorder="0" applyAlignment="0" applyProtection="0">
      <alignment vertical="center"/>
    </xf>
    <xf numFmtId="169" fontId="7" fillId="0" borderId="0" applyFont="0" applyFill="0" applyBorder="0" applyAlignment="0" applyProtection="0"/>
    <xf numFmtId="169" fontId="6" fillId="0" borderId="0" applyFont="0" applyFill="0" applyBorder="0" applyAlignment="0" applyProtection="0"/>
    <xf numFmtId="176" fontId="7" fillId="101" borderId="26">
      <alignment vertical="center"/>
    </xf>
    <xf numFmtId="10" fontId="36" fillId="0" borderId="0" applyFont="0" applyFill="0" applyBorder="0" applyAlignment="0" applyProtection="0">
      <alignment vertical="center"/>
    </xf>
    <xf numFmtId="349" fontId="9" fillId="0" borderId="0"/>
    <xf numFmtId="349" fontId="9" fillId="0" borderId="0"/>
    <xf numFmtId="349" fontId="12"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12" fillId="0" borderId="0"/>
    <xf numFmtId="349" fontId="9" fillId="0" borderId="0"/>
    <xf numFmtId="349" fontId="12" fillId="0" borderId="0"/>
    <xf numFmtId="349" fontId="9" fillId="0" borderId="0"/>
    <xf numFmtId="349" fontId="12"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lignment vertical="center"/>
    </xf>
    <xf numFmtId="349" fontId="12" fillId="0" borderId="0"/>
    <xf numFmtId="349" fontId="12" fillId="0" borderId="0"/>
    <xf numFmtId="349" fontId="12" fillId="0" borderId="0"/>
    <xf numFmtId="349" fontId="12" fillId="0" borderId="0"/>
    <xf numFmtId="349" fontId="9" fillId="0" borderId="0">
      <alignment vertical="center"/>
    </xf>
    <xf numFmtId="349" fontId="9" fillId="0" borderId="0">
      <alignment vertical="center"/>
    </xf>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12" fillId="0" borderId="0">
      <alignment vertical="justify"/>
    </xf>
    <xf numFmtId="349" fontId="18" fillId="30" borderId="0" applyNumberFormat="0" applyBorder="0" applyAlignment="0" applyProtection="0"/>
    <xf numFmtId="349" fontId="18" fillId="30"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7" borderId="0" applyNumberFormat="0" applyBorder="0" applyAlignment="0" applyProtection="0"/>
    <xf numFmtId="349" fontId="18" fillId="27" borderId="0" applyNumberFormat="0" applyBorder="0" applyAlignment="0" applyProtection="0"/>
    <xf numFmtId="349" fontId="18" fillId="118" borderId="0" applyNumberFormat="0" applyBorder="0" applyAlignment="0" applyProtection="0"/>
    <xf numFmtId="349" fontId="18" fillId="118" borderId="0" applyNumberFormat="0" applyBorder="0" applyAlignment="0" applyProtection="0"/>
    <xf numFmtId="349" fontId="18" fillId="30" borderId="0" applyNumberFormat="0" applyBorder="0" applyAlignment="0" applyProtection="0"/>
    <xf numFmtId="349" fontId="18" fillId="30"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18" fillId="61" borderId="0" applyNumberFormat="0" applyBorder="0" applyAlignment="0" applyProtection="0"/>
    <xf numFmtId="349" fontId="18" fillId="61"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6" borderId="0" applyNumberFormat="0" applyBorder="0" applyAlignment="0" applyProtection="0"/>
    <xf numFmtId="349" fontId="18" fillId="26" borderId="0" applyNumberFormat="0" applyBorder="0" applyAlignment="0" applyProtection="0"/>
    <xf numFmtId="349" fontId="18" fillId="119" borderId="0" applyNumberFormat="0" applyBorder="0" applyAlignment="0" applyProtection="0"/>
    <xf numFmtId="349" fontId="18" fillId="119" borderId="0" applyNumberFormat="0" applyBorder="0" applyAlignment="0" applyProtection="0"/>
    <xf numFmtId="349" fontId="18" fillId="31" borderId="0" applyNumberFormat="0" applyBorder="0" applyAlignment="0" applyProtection="0"/>
    <xf numFmtId="349" fontId="18" fillId="31"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19" borderId="0" applyNumberFormat="0" applyBorder="0" applyAlignment="0" applyProtection="0"/>
    <xf numFmtId="349" fontId="61" fillId="19" borderId="0" applyNumberFormat="0" applyBorder="0" applyAlignment="0" applyProtection="0"/>
    <xf numFmtId="349" fontId="61" fillId="26" borderId="0" applyNumberFormat="0" applyBorder="0" applyAlignment="0" applyProtection="0"/>
    <xf numFmtId="349" fontId="61" fillId="26" borderId="0" applyNumberFormat="0" applyBorder="0" applyAlignment="0" applyProtection="0"/>
    <xf numFmtId="349" fontId="61" fillId="119" borderId="0" applyNumberFormat="0" applyBorder="0" applyAlignment="0" applyProtection="0"/>
    <xf numFmtId="349" fontId="61" fillId="119"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23" borderId="0" applyNumberFormat="0" applyBorder="0" applyAlignment="0" applyProtection="0"/>
    <xf numFmtId="349" fontId="61" fillId="23" borderId="0" applyNumberFormat="0" applyBorder="0" applyAlignment="0" applyProtection="0"/>
    <xf numFmtId="349" fontId="13" fillId="65" borderId="0" applyNumberFormat="0" applyBorder="0" applyAlignment="0" applyProtection="0"/>
    <xf numFmtId="349" fontId="13" fillId="12" borderId="0" applyNumberFormat="0" applyBorder="0" applyAlignment="0" applyProtection="0"/>
    <xf numFmtId="349" fontId="14" fillId="121" borderId="0" applyNumberFormat="0" applyBorder="0" applyAlignment="0" applyProtection="0"/>
    <xf numFmtId="349" fontId="14" fillId="66" borderId="0" applyNumberFormat="0" applyBorder="0" applyAlignment="0" applyProtection="0"/>
    <xf numFmtId="349" fontId="14" fillId="66" borderId="0" applyNumberFormat="0" applyBorder="0" applyAlignment="0" applyProtection="0"/>
    <xf numFmtId="349" fontId="13" fillId="68" borderId="0" applyNumberFormat="0" applyBorder="0" applyAlignment="0" applyProtection="0"/>
    <xf numFmtId="349" fontId="13" fillId="11" borderId="0" applyNumberFormat="0" applyBorder="0" applyAlignment="0" applyProtection="0"/>
    <xf numFmtId="349" fontId="14" fillId="8" borderId="0" applyNumberFormat="0" applyBorder="0" applyAlignment="0" applyProtection="0"/>
    <xf numFmtId="349" fontId="14" fillId="69" borderId="0" applyNumberFormat="0" applyBorder="0" applyAlignment="0" applyProtection="0"/>
    <xf numFmtId="349" fontId="14" fillId="69" borderId="0" applyNumberFormat="0" applyBorder="0" applyAlignment="0" applyProtection="0"/>
    <xf numFmtId="349" fontId="13" fillId="70" borderId="0" applyNumberFormat="0" applyBorder="0" applyAlignment="0" applyProtection="0"/>
    <xf numFmtId="349" fontId="13" fillId="71" borderId="0" applyNumberFormat="0" applyBorder="0" applyAlignment="0" applyProtection="0"/>
    <xf numFmtId="349" fontId="14" fillId="122" borderId="0" applyNumberFormat="0" applyBorder="0" applyAlignment="0" applyProtection="0"/>
    <xf numFmtId="349" fontId="14" fillId="123" borderId="0" applyNumberFormat="0" applyBorder="0" applyAlignment="0" applyProtection="0"/>
    <xf numFmtId="349" fontId="14" fillId="123" borderId="0" applyNumberFormat="0" applyBorder="0" applyAlignment="0" applyProtection="0"/>
    <xf numFmtId="349" fontId="13" fillId="68" borderId="0" applyNumberFormat="0" applyBorder="0" applyAlignment="0" applyProtection="0"/>
    <xf numFmtId="349" fontId="13" fillId="9" borderId="0" applyNumberFormat="0" applyBorder="0" applyAlignment="0" applyProtection="0"/>
    <xf numFmtId="349" fontId="14" fillId="11" borderId="0" applyNumberFormat="0" applyBorder="0" applyAlignment="0" applyProtection="0"/>
    <xf numFmtId="349" fontId="14" fillId="124" borderId="0" applyNumberFormat="0" applyBorder="0" applyAlignment="0" applyProtection="0"/>
    <xf numFmtId="349" fontId="14" fillId="124" borderId="0" applyNumberFormat="0" applyBorder="0" applyAlignment="0" applyProtection="0"/>
    <xf numFmtId="349" fontId="13" fillId="10" borderId="0" applyNumberFormat="0" applyBorder="0" applyAlignment="0" applyProtection="0"/>
    <xf numFmtId="349" fontId="13" fillId="5"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3" fillId="13" borderId="0" applyNumberFormat="0" applyBorder="0" applyAlignment="0" applyProtection="0"/>
    <xf numFmtId="349" fontId="13" fillId="14" borderId="0" applyNumberFormat="0" applyBorder="0" applyAlignment="0" applyProtection="0"/>
    <xf numFmtId="349" fontId="14" fillId="125" borderId="0" applyNumberFormat="0" applyBorder="0" applyAlignment="0" applyProtection="0"/>
    <xf numFmtId="349" fontId="14" fillId="126" borderId="0" applyNumberFormat="0" applyBorder="0" applyAlignment="0" applyProtection="0"/>
    <xf numFmtId="349" fontId="14" fillId="126" borderId="0" applyNumberFormat="0" applyBorder="0" applyAlignment="0" applyProtection="0"/>
    <xf numFmtId="349" fontId="250" fillId="13" borderId="0" applyNumberFormat="0" applyBorder="0" applyAlignment="0" applyProtection="0"/>
    <xf numFmtId="349" fontId="250" fillId="13" borderId="0" applyNumberFormat="0" applyBorder="0" applyAlignment="0" applyProtection="0"/>
    <xf numFmtId="349" fontId="251" fillId="127" borderId="108" applyNumberFormat="0" applyAlignment="0" applyProtection="0"/>
    <xf numFmtId="349" fontId="251" fillId="127" borderId="108" applyNumberFormat="0" applyAlignment="0" applyProtection="0"/>
    <xf numFmtId="349" fontId="90" fillId="124" borderId="15" applyNumberFormat="0" applyAlignment="0" applyProtection="0"/>
    <xf numFmtId="349" fontId="90" fillId="124" borderId="15" applyNumberFormat="0" applyAlignment="0" applyProtection="0"/>
    <xf numFmtId="37" fontId="64" fillId="0" borderId="88">
      <alignment horizontal="center"/>
    </xf>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15" fillId="128" borderId="0" applyNumberFormat="0" applyBorder="0" applyAlignment="0" applyProtection="0"/>
    <xf numFmtId="349" fontId="15" fillId="129" borderId="0" applyNumberFormat="0" applyBorder="0" applyAlignment="0" applyProtection="0"/>
    <xf numFmtId="349" fontId="15" fillId="17" borderId="0" applyNumberFormat="0" applyBorder="0" applyAlignment="0" applyProtection="0"/>
    <xf numFmtId="349" fontId="49" fillId="0" borderId="0" applyFont="0" applyFill="0" applyBorder="0" applyAlignment="0" applyProtection="0"/>
    <xf numFmtId="349" fontId="252" fillId="0" borderId="0" applyNumberFormat="0" applyFill="0" applyBorder="0" applyAlignment="0" applyProtection="0"/>
    <xf numFmtId="349" fontId="252" fillId="0" borderId="0" applyNumberFormat="0" applyFill="0" applyBorder="0" applyAlignment="0" applyProtection="0"/>
    <xf numFmtId="349" fontId="13" fillId="71" borderId="0" applyNumberFormat="0" applyBorder="0" applyAlignment="0" applyProtection="0"/>
    <xf numFmtId="349" fontId="13" fillId="71" borderId="0" applyNumberForma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122" fillId="0" borderId="29" applyNumberFormat="0" applyFill="0" applyAlignment="0" applyProtection="0"/>
    <xf numFmtId="349" fontId="122" fillId="0" borderId="29" applyNumberFormat="0" applyFill="0" applyAlignment="0" applyProtection="0"/>
    <xf numFmtId="349" fontId="125" fillId="0" borderId="109" applyNumberFormat="0" applyFill="0" applyAlignment="0" applyProtection="0"/>
    <xf numFmtId="349" fontId="125" fillId="0" borderId="109" applyNumberFormat="0" applyFill="0" applyAlignment="0" applyProtection="0"/>
    <xf numFmtId="349" fontId="128" fillId="0" borderId="110" applyNumberFormat="0" applyFill="0" applyAlignment="0" applyProtection="0"/>
    <xf numFmtId="349" fontId="128" fillId="0" borderId="110" applyNumberFormat="0" applyFill="0" applyAlignment="0" applyProtection="0"/>
    <xf numFmtId="349" fontId="128" fillId="0" borderId="0" applyNumberFormat="0" applyFill="0" applyBorder="0" applyAlignment="0" applyProtection="0"/>
    <xf numFmtId="349" fontId="128" fillId="0" borderId="0" applyNumberFormat="0" applyFill="0" applyBorder="0" applyAlignment="0" applyProtection="0"/>
    <xf numFmtId="349" fontId="142" fillId="14" borderId="108" applyNumberFormat="0" applyAlignment="0" applyProtection="0"/>
    <xf numFmtId="349" fontId="142" fillId="14" borderId="108" applyNumberFormat="0" applyAlignment="0" applyProtection="0"/>
    <xf numFmtId="349" fontId="145" fillId="34" borderId="0"/>
    <xf numFmtId="349" fontId="118" fillId="0" borderId="111" applyNumberFormat="0" applyFill="0" applyAlignment="0" applyProtection="0"/>
    <xf numFmtId="349" fontId="118" fillId="0" borderId="111" applyNumberFormat="0" applyFill="0" applyAlignment="0" applyProtection="0"/>
    <xf numFmtId="349" fontId="118" fillId="14" borderId="0" applyNumberFormat="0" applyBorder="0" applyAlignment="0" applyProtection="0"/>
    <xf numFmtId="349" fontId="118" fillId="14" borderId="0" applyNumberFormat="0" applyBorder="0" applyAlignment="0" applyProtection="0"/>
    <xf numFmtId="349" fontId="24" fillId="0" borderId="0"/>
    <xf numFmtId="349" fontId="24" fillId="0" borderId="0"/>
    <xf numFmtId="349" fontId="24" fillId="0" borderId="0"/>
    <xf numFmtId="349" fontId="24" fillId="0" borderId="0"/>
    <xf numFmtId="349" fontId="24" fillId="0" borderId="0"/>
    <xf numFmtId="349" fontId="9" fillId="0" borderId="0"/>
    <xf numFmtId="349" fontId="9" fillId="0" borderId="0"/>
    <xf numFmtId="349" fontId="9" fillId="0" borderId="0"/>
    <xf numFmtId="349" fontId="9" fillId="0" borderId="0"/>
    <xf numFmtId="0" fontId="7"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xf numFmtId="349" fontId="13" fillId="0" borderId="0" applyFill="0" applyBorder="0" applyAlignment="0" applyProtection="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7"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28" fillId="0" borderId="0"/>
    <xf numFmtId="349" fontId="6" fillId="0" borderId="0"/>
    <xf numFmtId="349" fontId="9"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6" fillId="0" borderId="0"/>
    <xf numFmtId="349" fontId="6" fillId="0" borderId="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13" fillId="0" borderId="0" applyFill="0" applyBorder="0" applyAlignment="0" applyProtection="0"/>
    <xf numFmtId="349" fontId="24"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2" fillId="0" borderId="0">
      <alignment vertical="top"/>
    </xf>
    <xf numFmtId="349" fontId="106" fillId="0" borderId="0" applyFill="0" applyBorder="0">
      <protection locked="0"/>
    </xf>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84" fillId="127" borderId="112" applyNumberFormat="0" applyAlignment="0" applyProtection="0"/>
    <xf numFmtId="349" fontId="184" fillId="127" borderId="112"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330" fontId="24" fillId="90" borderId="26">
      <alignment vertical="center"/>
    </xf>
    <xf numFmtId="172" fontId="24" fillId="90" borderId="26">
      <alignment vertical="center"/>
    </xf>
    <xf numFmtId="172"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176" fontId="24" fillId="90" borderId="26">
      <alignment vertical="center"/>
    </xf>
    <xf numFmtId="176" fontId="24" fillId="90" borderId="26">
      <alignment vertical="center"/>
    </xf>
    <xf numFmtId="330" fontId="24" fillId="90" borderId="26">
      <alignment vertical="center"/>
    </xf>
    <xf numFmtId="349" fontId="197" fillId="0" borderId="0"/>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30"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9" borderId="26">
      <alignment horizontal="right" vertical="center"/>
      <protection locked="0"/>
    </xf>
    <xf numFmtId="349" fontId="24" fillId="39" borderId="26">
      <alignment horizontal="right" vertical="center"/>
      <protection locked="0"/>
    </xf>
    <xf numFmtId="330" fontId="24" fillId="39" borderId="26">
      <alignment horizontal="right" vertical="center"/>
      <protection locked="0"/>
    </xf>
    <xf numFmtId="330" fontId="24" fillId="39" borderId="26">
      <alignment horizontal="right" vertical="center"/>
      <protection locked="0"/>
    </xf>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349" fontId="254" fillId="18" borderId="113" applyNumberFormat="0" applyProtection="0">
      <alignment horizontal="left" vertical="top"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2" borderId="114" applyNumberFormat="0" applyProtection="0">
      <alignment horizontal="right" vertical="center"/>
    </xf>
    <xf numFmtId="4" fontId="53" fillId="23" borderId="108" applyNumberFormat="0" applyProtection="0">
      <alignment horizontal="right" vertical="center"/>
    </xf>
    <xf numFmtId="4" fontId="53" fillId="24" borderId="108" applyNumberFormat="0" applyProtection="0">
      <alignment horizontal="right" vertical="center"/>
    </xf>
    <xf numFmtId="4" fontId="53" fillId="25" borderId="108" applyNumberFormat="0" applyProtection="0">
      <alignment horizontal="right" vertical="center"/>
    </xf>
    <xf numFmtId="4" fontId="53" fillId="26"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29" borderId="114" applyNumberFormat="0" applyProtection="0">
      <alignment horizontal="left" vertical="center" indent="1"/>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19" borderId="108" applyNumberFormat="0" applyProtection="0">
      <alignment horizontal="right" vertical="center"/>
    </xf>
    <xf numFmtId="4" fontId="53" fillId="30" borderId="114" applyNumberFormat="0" applyProtection="0">
      <alignment horizontal="left" vertical="center" indent="1"/>
    </xf>
    <xf numFmtId="4" fontId="53" fillId="19" borderId="114" applyNumberFormat="0" applyProtection="0">
      <alignment horizontal="left" vertical="center" indent="1"/>
    </xf>
    <xf numFmtId="349" fontId="53" fillId="61" borderId="108"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9" fillId="30" borderId="113" applyNumberFormat="0" applyProtection="0">
      <alignment horizontal="left" vertical="center"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3" borderId="49" applyNumberFormat="0">
      <protection locked="0"/>
    </xf>
    <xf numFmtId="349" fontId="9" fillId="33" borderId="26"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93" fillId="31" borderId="115" applyBorder="0"/>
    <xf numFmtId="4" fontId="255" fillId="34" borderId="113" applyNumberFormat="0" applyProtection="0">
      <alignment vertical="center"/>
    </xf>
    <xf numFmtId="4" fontId="253" fillId="36" borderId="26" applyNumberFormat="0" applyProtection="0">
      <alignment vertical="center"/>
    </xf>
    <xf numFmtId="4" fontId="255" fillId="61" borderId="113" applyNumberFormat="0" applyProtection="0">
      <alignment horizontal="left" vertical="center" indent="1"/>
    </xf>
    <xf numFmtId="349" fontId="255" fillId="34" borderId="113" applyNumberFormat="0" applyProtection="0">
      <alignment horizontal="left" vertical="top" indent="1"/>
    </xf>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349" fontId="53" fillId="109" borderId="26"/>
    <xf numFmtId="4" fontId="257" fillId="33" borderId="108" applyNumberFormat="0" applyProtection="0">
      <alignment horizontal="right" vertical="center"/>
    </xf>
    <xf numFmtId="349" fontId="23" fillId="0" borderId="0" applyNumberFormat="0" applyFill="0" applyBorder="0" applyAlignment="0" applyProtection="0"/>
    <xf numFmtId="349" fontId="9" fillId="0" borderId="0" applyFont="0" applyFill="0" applyBorder="0" applyAlignment="0" applyProtection="0"/>
    <xf numFmtId="37" fontId="64" fillId="0" borderId="116" applyNumberFormat="0"/>
    <xf numFmtId="349" fontId="225" fillId="0" borderId="54" applyNumberFormat="0" applyAlignment="0" applyProtection="0"/>
    <xf numFmtId="349" fontId="23" fillId="0" borderId="0" applyNumberFormat="0" applyFill="0" applyBorder="0" applyAlignment="0" applyProtection="0"/>
    <xf numFmtId="349" fontId="23" fillId="0" borderId="0" applyNumberFormat="0" applyFill="0" applyBorder="0" applyAlignment="0" applyProtection="0"/>
    <xf numFmtId="214" fontId="64" fillId="0" borderId="28" applyFill="0"/>
    <xf numFmtId="349" fontId="15" fillId="0" borderId="117" applyNumberFormat="0" applyFill="0" applyAlignment="0" applyProtection="0"/>
    <xf numFmtId="349" fontId="15" fillId="0" borderId="117" applyNumberFormat="0" applyFill="0" applyAlignment="0" applyProtection="0"/>
    <xf numFmtId="349" fontId="258" fillId="0" borderId="0" applyNumberFormat="0" applyFill="0" applyBorder="0" applyAlignment="0" applyProtection="0"/>
    <xf numFmtId="349" fontId="258" fillId="0" borderId="0" applyNumberFormat="0" applyFill="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2" fontId="7" fillId="101" borderId="26">
      <alignment vertical="center"/>
    </xf>
    <xf numFmtId="176" fontId="7" fillId="101" borderId="26">
      <alignment vertical="center"/>
    </xf>
    <xf numFmtId="330" fontId="7" fillId="101" borderId="26">
      <alignment vertical="center"/>
    </xf>
    <xf numFmtId="330" fontId="7" fillId="43" borderId="26">
      <alignment vertical="center"/>
    </xf>
    <xf numFmtId="330" fontId="7" fillId="44" borderId="26">
      <alignment horizontal="right" vertical="center"/>
      <protection locked="0"/>
    </xf>
    <xf numFmtId="0" fontId="12" fillId="0" borderId="0"/>
    <xf numFmtId="0" fontId="12" fillId="0" borderId="0"/>
    <xf numFmtId="0" fontId="12" fillId="0" borderId="0"/>
    <xf numFmtId="0" fontId="12" fillId="0" borderId="0"/>
    <xf numFmtId="0" fontId="12" fillId="0" borderId="0"/>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214" fontId="64" fillId="0" borderId="28" applyFill="0"/>
    <xf numFmtId="0" fontId="12" fillId="0" borderId="0"/>
    <xf numFmtId="0" fontId="12" fillId="0" borderId="0"/>
    <xf numFmtId="169" fontId="7" fillId="0" borderId="0" applyFont="0" applyFill="0" applyBorder="0" applyAlignment="0" applyProtection="0"/>
    <xf numFmtId="0" fontId="12" fillId="0" borderId="0"/>
    <xf numFmtId="349" fontId="53" fillId="30" borderId="113" applyNumberFormat="0" applyProtection="0">
      <alignment horizontal="left" vertical="top" indent="1"/>
    </xf>
    <xf numFmtId="349" fontId="53" fillId="30" borderId="108"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32" borderId="108"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251" fillId="127" borderId="108" applyNumberFormat="0" applyAlignment="0" applyProtection="0"/>
    <xf numFmtId="349" fontId="251" fillId="127"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28" fillId="0" borderId="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84" fillId="127" borderId="112" applyNumberFormat="0" applyAlignment="0" applyProtection="0"/>
    <xf numFmtId="349" fontId="184" fillId="127" borderId="112" applyNumberFormat="0" applyAlignment="0" applyProtection="0"/>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5"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19" borderId="108" applyNumberFormat="0" applyProtection="0">
      <alignment horizontal="right" vertical="center"/>
    </xf>
    <xf numFmtId="349" fontId="53" fillId="61" borderId="108" applyNumberFormat="0" applyProtection="0">
      <alignment horizontal="left" vertical="center" indent="1"/>
    </xf>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349" fontId="254" fillId="18" borderId="113" applyNumberFormat="0" applyProtection="0">
      <alignment horizontal="left" vertical="top"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2" borderId="114" applyNumberFormat="0" applyProtection="0">
      <alignment horizontal="right" vertical="center"/>
    </xf>
    <xf numFmtId="4" fontId="53" fillId="23" borderId="108" applyNumberFormat="0" applyProtection="0">
      <alignment horizontal="right" vertical="center"/>
    </xf>
    <xf numFmtId="4" fontId="53" fillId="24" borderId="108" applyNumberFormat="0" applyProtection="0">
      <alignment horizontal="right" vertical="center"/>
    </xf>
    <xf numFmtId="4" fontId="53" fillId="25" borderId="108" applyNumberFormat="0" applyProtection="0">
      <alignment horizontal="right" vertical="center"/>
    </xf>
    <xf numFmtId="4" fontId="53" fillId="26"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29" borderId="114" applyNumberFormat="0" applyProtection="0">
      <alignment horizontal="left" vertical="center" indent="1"/>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19" borderId="108" applyNumberFormat="0" applyProtection="0">
      <alignment horizontal="right" vertical="center"/>
    </xf>
    <xf numFmtId="4" fontId="53" fillId="30" borderId="114" applyNumberFormat="0" applyProtection="0">
      <alignment horizontal="left" vertical="center" indent="1"/>
    </xf>
    <xf numFmtId="4" fontId="53" fillId="19" borderId="114" applyNumberFormat="0" applyProtection="0">
      <alignment horizontal="left" vertical="center" indent="1"/>
    </xf>
    <xf numFmtId="349" fontId="53" fillId="61" borderId="108"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9" fillId="30" borderId="113" applyNumberFormat="0" applyProtection="0">
      <alignment horizontal="left" vertical="center"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2" borderId="108" applyNumberFormat="0" applyProtection="0">
      <alignment horizontal="left" vertical="center" indent="1"/>
    </xf>
    <xf numFmtId="349" fontId="93" fillId="31" borderId="115" applyBorder="0"/>
    <xf numFmtId="4" fontId="255" fillId="34" borderId="113" applyNumberFormat="0" applyProtection="0">
      <alignment vertical="center"/>
    </xf>
    <xf numFmtId="4" fontId="255" fillId="61" borderId="113" applyNumberFormat="0" applyProtection="0">
      <alignment horizontal="left" vertical="center" indent="1"/>
    </xf>
    <xf numFmtId="349" fontId="255" fillId="34" borderId="113" applyNumberFormat="0" applyProtection="0">
      <alignment horizontal="left" vertical="top" indent="1"/>
    </xf>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4" fontId="257" fillId="33" borderId="108" applyNumberFormat="0" applyProtection="0">
      <alignment horizontal="right" vertical="center"/>
    </xf>
    <xf numFmtId="37" fontId="64" fillId="0" borderId="116" applyNumberFormat="0"/>
    <xf numFmtId="349" fontId="15" fillId="0" borderId="117" applyNumberFormat="0" applyFill="0" applyAlignment="0" applyProtection="0"/>
    <xf numFmtId="349" fontId="15" fillId="0" borderId="117" applyNumberFormat="0" applyFill="0" applyAlignment="0" applyProtection="0"/>
    <xf numFmtId="349" fontId="9" fillId="30" borderId="113" applyNumberFormat="0" applyProtection="0">
      <alignment horizontal="left" vertical="center"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251" fillId="127" borderId="108" applyNumberFormat="0" applyAlignment="0" applyProtection="0"/>
    <xf numFmtId="349" fontId="251" fillId="127" borderId="108" applyNumberFormat="0" applyAlignment="0" applyProtection="0"/>
    <xf numFmtId="4" fontId="53" fillId="23" borderId="108" applyNumberFormat="0" applyProtection="0">
      <alignment horizontal="right" vertical="center"/>
    </xf>
    <xf numFmtId="4" fontId="53" fillId="24" borderId="108" applyNumberFormat="0" applyProtection="0">
      <alignment horizontal="right" vertical="center"/>
    </xf>
    <xf numFmtId="349" fontId="53" fillId="83" borderId="108" applyNumberFormat="0" applyProtection="0">
      <alignment horizontal="left" vertical="center" indent="1"/>
    </xf>
    <xf numFmtId="214" fontId="64" fillId="0" borderId="28" applyFill="0"/>
    <xf numFmtId="4" fontId="53" fillId="26" borderId="108" applyNumberFormat="0" applyProtection="0">
      <alignment horizontal="right" vertical="center"/>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3" fillId="31" borderId="115" applyBorder="0"/>
    <xf numFmtId="4" fontId="255" fillId="34" borderId="113" applyNumberFormat="0" applyProtection="0">
      <alignment vertical="center"/>
    </xf>
    <xf numFmtId="4" fontId="255" fillId="61" borderId="113" applyNumberFormat="0" applyProtection="0">
      <alignment horizontal="left" vertical="center" indent="1"/>
    </xf>
    <xf numFmtId="349" fontId="255" fillId="34" borderId="113" applyNumberFormat="0" applyProtection="0">
      <alignment horizontal="left" vertical="top" indent="1"/>
    </xf>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4" fontId="257" fillId="33" borderId="108" applyNumberFormat="0" applyProtection="0">
      <alignment horizontal="right" vertical="center"/>
    </xf>
    <xf numFmtId="37" fontId="64" fillId="0" borderId="116" applyNumberFormat="0"/>
    <xf numFmtId="349" fontId="15" fillId="0" borderId="117" applyNumberFormat="0" applyFill="0" applyAlignment="0" applyProtection="0"/>
    <xf numFmtId="349" fontId="15" fillId="0" borderId="117" applyNumberFormat="0" applyFill="0" applyAlignment="0" applyProtection="0"/>
    <xf numFmtId="349" fontId="53" fillId="30" borderId="108" applyNumberFormat="0" applyProtection="0">
      <alignment horizontal="left" vertical="center" indent="1"/>
    </xf>
    <xf numFmtId="349" fontId="251" fillId="127" borderId="108" applyNumberFormat="0" applyAlignment="0" applyProtection="0"/>
    <xf numFmtId="349" fontId="251" fillId="127" borderId="108" applyNumberFormat="0" applyAlignment="0" applyProtection="0"/>
    <xf numFmtId="214" fontId="64" fillId="0" borderId="28" applyFill="0"/>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4" fontId="257" fillId="33" borderId="108" applyNumberFormat="0" applyProtection="0">
      <alignment horizontal="right" vertical="center"/>
    </xf>
    <xf numFmtId="349" fontId="251" fillId="127" borderId="108" applyNumberFormat="0" applyAlignment="0" applyProtection="0"/>
    <xf numFmtId="349" fontId="251" fillId="127"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28" fillId="0" borderId="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84" fillId="127" borderId="112" applyNumberFormat="0" applyAlignment="0" applyProtection="0"/>
    <xf numFmtId="349" fontId="184" fillId="127" borderId="112" applyNumberFormat="0" applyAlignment="0" applyProtection="0"/>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349" fontId="254" fillId="18" borderId="113" applyNumberFormat="0" applyProtection="0">
      <alignment horizontal="left" vertical="top"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2" borderId="114" applyNumberFormat="0" applyProtection="0">
      <alignment horizontal="right" vertical="center"/>
    </xf>
    <xf numFmtId="4" fontId="53" fillId="23" borderId="108" applyNumberFormat="0" applyProtection="0">
      <alignment horizontal="right" vertical="center"/>
    </xf>
    <xf numFmtId="4" fontId="53" fillId="24" borderId="108" applyNumberFormat="0" applyProtection="0">
      <alignment horizontal="right" vertical="center"/>
    </xf>
    <xf numFmtId="4" fontId="53" fillId="25" borderId="108" applyNumberFormat="0" applyProtection="0">
      <alignment horizontal="right" vertical="center"/>
    </xf>
    <xf numFmtId="4" fontId="53" fillId="26"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29" borderId="114" applyNumberFormat="0" applyProtection="0">
      <alignment horizontal="left" vertical="center" indent="1"/>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19" borderId="108" applyNumberFormat="0" applyProtection="0">
      <alignment horizontal="right" vertical="center"/>
    </xf>
    <xf numFmtId="4" fontId="53" fillId="30" borderId="114" applyNumberFormat="0" applyProtection="0">
      <alignment horizontal="left" vertical="center" indent="1"/>
    </xf>
    <xf numFmtId="4" fontId="53" fillId="19" borderId="114" applyNumberFormat="0" applyProtection="0">
      <alignment horizontal="left" vertical="center" indent="1"/>
    </xf>
    <xf numFmtId="349" fontId="53" fillId="61" borderId="108"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9" fillId="30" borderId="113" applyNumberFormat="0" applyProtection="0">
      <alignment horizontal="left" vertical="center"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3" fillId="31" borderId="115" applyBorder="0"/>
    <xf numFmtId="4" fontId="255" fillId="34" borderId="113" applyNumberFormat="0" applyProtection="0">
      <alignment vertical="center"/>
    </xf>
    <xf numFmtId="4" fontId="255" fillId="61" borderId="113" applyNumberFormat="0" applyProtection="0">
      <alignment horizontal="left" vertical="center" indent="1"/>
    </xf>
    <xf numFmtId="349" fontId="255" fillId="34" borderId="113" applyNumberFormat="0" applyProtection="0">
      <alignment horizontal="left" vertical="top" indent="1"/>
    </xf>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4" fontId="257" fillId="33" borderId="108" applyNumberFormat="0" applyProtection="0">
      <alignment horizontal="right" vertical="center"/>
    </xf>
    <xf numFmtId="37" fontId="64" fillId="0" borderId="116" applyNumberFormat="0"/>
    <xf numFmtId="349" fontId="15" fillId="0" borderId="117" applyNumberFormat="0" applyFill="0" applyAlignment="0" applyProtection="0"/>
    <xf numFmtId="349" fontId="15" fillId="0" borderId="117" applyNumberFormat="0" applyFill="0" applyAlignment="0" applyProtection="0"/>
    <xf numFmtId="214" fontId="64" fillId="0" borderId="28" applyFill="0"/>
    <xf numFmtId="349" fontId="28" fillId="0" borderId="0"/>
    <xf numFmtId="349" fontId="53" fillId="30" borderId="113" applyNumberFormat="0" applyProtection="0">
      <alignment horizontal="left" vertical="top" indent="1"/>
    </xf>
    <xf numFmtId="349" fontId="53" fillId="30" borderId="108"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32" borderId="108"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251" fillId="127" borderId="108" applyNumberFormat="0" applyAlignment="0" applyProtection="0"/>
    <xf numFmtId="349" fontId="251" fillId="127"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28" fillId="0" borderId="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84" fillId="127" borderId="112" applyNumberFormat="0" applyAlignment="0" applyProtection="0"/>
    <xf numFmtId="349" fontId="184" fillId="127" borderId="112" applyNumberFormat="0" applyAlignment="0" applyProtection="0"/>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5"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19" borderId="108" applyNumberFormat="0" applyProtection="0">
      <alignment horizontal="right" vertical="center"/>
    </xf>
    <xf numFmtId="349" fontId="53" fillId="61" borderId="108" applyNumberFormat="0" applyProtection="0">
      <alignment horizontal="left" vertical="center" indent="1"/>
    </xf>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349" fontId="254" fillId="18" borderId="113" applyNumberFormat="0" applyProtection="0">
      <alignment horizontal="left" vertical="top"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2" borderId="114" applyNumberFormat="0" applyProtection="0">
      <alignment horizontal="right" vertical="center"/>
    </xf>
    <xf numFmtId="4" fontId="53" fillId="23" borderId="108" applyNumberFormat="0" applyProtection="0">
      <alignment horizontal="right" vertical="center"/>
    </xf>
    <xf numFmtId="4" fontId="53" fillId="24" borderId="108" applyNumberFormat="0" applyProtection="0">
      <alignment horizontal="right" vertical="center"/>
    </xf>
    <xf numFmtId="4" fontId="53" fillId="25" borderId="108" applyNumberFormat="0" applyProtection="0">
      <alignment horizontal="right" vertical="center"/>
    </xf>
    <xf numFmtId="4" fontId="53" fillId="26"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29" borderId="114" applyNumberFormat="0" applyProtection="0">
      <alignment horizontal="left" vertical="center" indent="1"/>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19" borderId="108" applyNumberFormat="0" applyProtection="0">
      <alignment horizontal="right" vertical="center"/>
    </xf>
    <xf numFmtId="4" fontId="53" fillId="30" borderId="114" applyNumberFormat="0" applyProtection="0">
      <alignment horizontal="left" vertical="center" indent="1"/>
    </xf>
    <xf numFmtId="4" fontId="53" fillId="19" borderId="114" applyNumberFormat="0" applyProtection="0">
      <alignment horizontal="left" vertical="center" indent="1"/>
    </xf>
    <xf numFmtId="349" fontId="53" fillId="61" borderId="108"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9" fillId="30" borderId="113" applyNumberFormat="0" applyProtection="0">
      <alignment horizontal="left" vertical="center"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2" borderId="108" applyNumberFormat="0" applyProtection="0">
      <alignment horizontal="left" vertical="center" indent="1"/>
    </xf>
    <xf numFmtId="349" fontId="93" fillId="31" borderId="115" applyBorder="0"/>
    <xf numFmtId="4" fontId="255" fillId="34" borderId="113" applyNumberFormat="0" applyProtection="0">
      <alignment vertical="center"/>
    </xf>
    <xf numFmtId="4" fontId="255" fillId="61" borderId="113" applyNumberFormat="0" applyProtection="0">
      <alignment horizontal="left" vertical="center" indent="1"/>
    </xf>
    <xf numFmtId="349" fontId="255" fillId="34" borderId="113" applyNumberFormat="0" applyProtection="0">
      <alignment horizontal="left" vertical="top" indent="1"/>
    </xf>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4" fontId="257" fillId="33" borderId="108" applyNumberFormat="0" applyProtection="0">
      <alignment horizontal="right" vertical="center"/>
    </xf>
    <xf numFmtId="37" fontId="64" fillId="0" borderId="116" applyNumberFormat="0"/>
    <xf numFmtId="349" fontId="15" fillId="0" borderId="117" applyNumberFormat="0" applyFill="0" applyAlignment="0" applyProtection="0"/>
    <xf numFmtId="349" fontId="15" fillId="0" borderId="117" applyNumberFormat="0" applyFill="0" applyAlignment="0" applyProtection="0"/>
    <xf numFmtId="349" fontId="9" fillId="30" borderId="113" applyNumberFormat="0" applyProtection="0">
      <alignment horizontal="left" vertical="center"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251" fillId="127" borderId="108" applyNumberFormat="0" applyAlignment="0" applyProtection="0"/>
    <xf numFmtId="349" fontId="251" fillId="127" borderId="108" applyNumberFormat="0" applyAlignment="0" applyProtection="0"/>
    <xf numFmtId="4" fontId="53" fillId="23" borderId="108" applyNumberFormat="0" applyProtection="0">
      <alignment horizontal="right" vertical="center"/>
    </xf>
    <xf numFmtId="4" fontId="53" fillId="24" borderId="108" applyNumberFormat="0" applyProtection="0">
      <alignment horizontal="right" vertical="center"/>
    </xf>
    <xf numFmtId="349" fontId="53" fillId="83" borderId="108" applyNumberFormat="0" applyProtection="0">
      <alignment horizontal="left" vertical="center" indent="1"/>
    </xf>
    <xf numFmtId="214" fontId="64" fillId="0" borderId="28" applyFill="0"/>
    <xf numFmtId="4" fontId="53" fillId="26" borderId="108" applyNumberFormat="0" applyProtection="0">
      <alignment horizontal="right" vertical="center"/>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3" fillId="31" borderId="115" applyBorder="0"/>
    <xf numFmtId="4" fontId="255" fillId="34" borderId="113" applyNumberFormat="0" applyProtection="0">
      <alignment vertical="center"/>
    </xf>
    <xf numFmtId="4" fontId="255" fillId="61" borderId="113" applyNumberFormat="0" applyProtection="0">
      <alignment horizontal="left" vertical="center" indent="1"/>
    </xf>
    <xf numFmtId="349" fontId="255" fillId="34" borderId="113" applyNumberFormat="0" applyProtection="0">
      <alignment horizontal="left" vertical="top" indent="1"/>
    </xf>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4" fontId="257" fillId="33" borderId="108" applyNumberFormat="0" applyProtection="0">
      <alignment horizontal="right" vertical="center"/>
    </xf>
    <xf numFmtId="37" fontId="64" fillId="0" borderId="116" applyNumberFormat="0"/>
    <xf numFmtId="349" fontId="15" fillId="0" borderId="117" applyNumberFormat="0" applyFill="0" applyAlignment="0" applyProtection="0"/>
    <xf numFmtId="349" fontId="15" fillId="0" borderId="117" applyNumberFormat="0" applyFill="0" applyAlignment="0" applyProtection="0"/>
    <xf numFmtId="349" fontId="53" fillId="30" borderId="108" applyNumberFormat="0" applyProtection="0">
      <alignment horizontal="left" vertical="center" indent="1"/>
    </xf>
    <xf numFmtId="349" fontId="251" fillId="127" borderId="108" applyNumberFormat="0" applyAlignment="0" applyProtection="0"/>
    <xf numFmtId="349" fontId="251" fillId="127" borderId="108" applyNumberFormat="0" applyAlignment="0" applyProtection="0"/>
    <xf numFmtId="214" fontId="64" fillId="0" borderId="28" applyFill="0"/>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4" fontId="257" fillId="33" borderId="108" applyNumberFormat="0" applyProtection="0">
      <alignment horizontal="right" vertical="center"/>
    </xf>
    <xf numFmtId="349" fontId="53" fillId="32" borderId="113" applyNumberFormat="0" applyProtection="0">
      <alignment horizontal="left" vertical="top" indent="1"/>
    </xf>
    <xf numFmtId="4" fontId="255" fillId="61" borderId="113" applyNumberFormat="0" applyProtection="0">
      <alignment horizontal="left" vertical="center" indent="1"/>
    </xf>
    <xf numFmtId="4" fontId="255" fillId="34" borderId="113" applyNumberFormat="0" applyProtection="0">
      <alignment vertical="center"/>
    </xf>
    <xf numFmtId="349" fontId="9" fillId="32" borderId="113" applyNumberFormat="0" applyProtection="0">
      <alignment horizontal="left" vertical="top" indent="1"/>
    </xf>
    <xf numFmtId="349" fontId="53" fillId="32" borderId="108" applyNumberFormat="0" applyProtection="0">
      <alignment horizontal="left" vertical="center" indent="1"/>
    </xf>
    <xf numFmtId="349" fontId="53" fillId="31" borderId="113" applyNumberFormat="0" applyProtection="0">
      <alignment horizontal="left" vertical="top" indent="1"/>
    </xf>
    <xf numFmtId="349" fontId="53" fillId="13" borderId="108" applyNumberFormat="0" applyFont="0" applyAlignment="0" applyProtection="0"/>
    <xf numFmtId="349" fontId="53" fillId="30" borderId="113" applyNumberFormat="0" applyProtection="0">
      <alignment horizontal="left" vertical="top" indent="1"/>
    </xf>
    <xf numFmtId="349" fontId="53" fillId="19" borderId="113" applyNumberFormat="0" applyProtection="0">
      <alignment horizontal="left" vertical="top" indent="1"/>
    </xf>
    <xf numFmtId="349" fontId="251" fillId="127" borderId="108" applyNumberFormat="0" applyAlignment="0" applyProtection="0"/>
    <xf numFmtId="349" fontId="15" fillId="0" borderId="117" applyNumberFormat="0" applyFill="0" applyAlignment="0" applyProtection="0"/>
    <xf numFmtId="349" fontId="15" fillId="0" borderId="117" applyNumberFormat="0" applyFill="0" applyAlignment="0" applyProtection="0"/>
    <xf numFmtId="37" fontId="64" fillId="0" borderId="116" applyNumberFormat="0"/>
    <xf numFmtId="4" fontId="257" fillId="33" borderId="108" applyNumberFormat="0" applyProtection="0">
      <alignment horizontal="right" vertical="center"/>
    </xf>
    <xf numFmtId="4" fontId="256" fillId="35" borderId="114" applyNumberFormat="0" applyProtection="0">
      <alignment horizontal="left" vertical="center" indent="1"/>
    </xf>
    <xf numFmtId="349" fontId="255" fillId="19" borderId="113" applyNumberFormat="0" applyProtection="0">
      <alignment horizontal="left" vertical="top" indent="1"/>
    </xf>
    <xf numFmtId="4" fontId="53" fillId="64" borderId="108" applyNumberFormat="0" applyProtection="0">
      <alignment horizontal="left" vertical="center"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28" fillId="0" borderId="0"/>
    <xf numFmtId="349" fontId="142" fillId="14" borderId="108" applyNumberFormat="0" applyAlignment="0" applyProtection="0"/>
    <xf numFmtId="349" fontId="142" fillId="14" borderId="108" applyNumberFormat="0" applyAlignment="0" applyProtection="0"/>
    <xf numFmtId="349" fontId="251" fillId="127" borderId="108" applyNumberFormat="0" applyAlignment="0" applyProtection="0"/>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9" fillId="19" borderId="113" applyNumberFormat="0" applyProtection="0">
      <alignment horizontal="left" vertical="top" indent="1"/>
    </xf>
    <xf numFmtId="349" fontId="53" fillId="31" borderId="113" applyNumberFormat="0" applyProtection="0">
      <alignment horizontal="left" vertical="top" indent="1"/>
    </xf>
    <xf numFmtId="349" fontId="93" fillId="31" borderId="115" applyBorder="0"/>
    <xf numFmtId="349" fontId="53" fillId="13" borderId="108" applyNumberFormat="0" applyFont="0" applyAlignment="0" applyProtection="0"/>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255" fillId="19" borderId="113" applyNumberFormat="0" applyProtection="0">
      <alignment horizontal="left" vertical="top" indent="1"/>
    </xf>
    <xf numFmtId="349" fontId="53" fillId="30" borderId="108" applyNumberFormat="0" applyProtection="0">
      <alignment horizontal="left" vertical="center" indent="1"/>
    </xf>
    <xf numFmtId="214" fontId="64" fillId="0" borderId="28" applyFill="0"/>
    <xf numFmtId="349" fontId="251" fillId="127" borderId="108" applyNumberFormat="0" applyAlignment="0" applyProtection="0"/>
    <xf numFmtId="349" fontId="251" fillId="127" borderId="108" applyNumberFormat="0" applyAlignment="0" applyProtection="0"/>
    <xf numFmtId="349" fontId="53" fillId="31" borderId="113" applyNumberFormat="0" applyProtection="0">
      <alignment horizontal="left" vertical="top" indent="1"/>
    </xf>
    <xf numFmtId="349" fontId="53" fillId="30" borderId="113" applyNumberFormat="0" applyProtection="0">
      <alignment horizontal="left" vertical="top" indent="1"/>
    </xf>
    <xf numFmtId="169" fontId="7" fillId="0" borderId="0" applyFont="0" applyFill="0" applyBorder="0" applyAlignment="0" applyProtection="0"/>
    <xf numFmtId="349" fontId="53" fillId="30" borderId="113" applyNumberFormat="0" applyProtection="0">
      <alignment horizontal="left" vertical="top" indent="1"/>
    </xf>
    <xf numFmtId="169" fontId="6" fillId="0" borderId="0" applyFont="0" applyFill="0" applyBorder="0" applyAlignment="0" applyProtection="0"/>
    <xf numFmtId="349" fontId="93" fillId="31" borderId="115" applyBorder="0"/>
    <xf numFmtId="4" fontId="53" fillId="24" borderId="108" applyNumberFormat="0" applyProtection="0">
      <alignment horizontal="right" vertical="center"/>
    </xf>
    <xf numFmtId="349" fontId="53" fillId="13" borderId="108" applyNumberFormat="0" applyFont="0" applyAlignment="0" applyProtection="0"/>
    <xf numFmtId="4" fontId="53" fillId="19" borderId="114" applyNumberFormat="0" applyProtection="0">
      <alignment horizontal="left" vertical="center" indent="1"/>
    </xf>
    <xf numFmtId="4" fontId="53" fillId="25" borderId="108" applyNumberFormat="0" applyProtection="0">
      <alignment horizontal="right" vertical="center"/>
    </xf>
    <xf numFmtId="349" fontId="53" fillId="61" borderId="108" applyNumberFormat="0" applyProtection="0">
      <alignment horizontal="left" vertical="center" indent="1"/>
    </xf>
    <xf numFmtId="4" fontId="256" fillId="35" borderId="114" applyNumberFormat="0" applyProtection="0">
      <alignment horizontal="left" vertical="center" indent="1"/>
    </xf>
    <xf numFmtId="349" fontId="255" fillId="19" borderId="113" applyNumberFormat="0" applyProtection="0">
      <alignment horizontal="left" vertical="top"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4" fontId="255" fillId="34" borderId="113" applyNumberFormat="0" applyProtection="0">
      <alignment vertical="center"/>
    </xf>
    <xf numFmtId="349" fontId="93" fillId="31" borderId="115" applyBorder="0"/>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214" fontId="64" fillId="0" borderId="28" applyFill="0"/>
    <xf numFmtId="349" fontId="53" fillId="83" borderId="108" applyNumberFormat="0" applyProtection="0">
      <alignment horizontal="left" vertical="center" indent="1"/>
    </xf>
    <xf numFmtId="4" fontId="53" fillId="23" borderId="108" applyNumberFormat="0" applyProtection="0">
      <alignment horizontal="right" vertical="center"/>
    </xf>
    <xf numFmtId="349" fontId="251" fillId="127" borderId="108" applyNumberFormat="0" applyAlignment="0" applyProtection="0"/>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9" fillId="30" borderId="113" applyNumberFormat="0" applyProtection="0">
      <alignment horizontal="left" vertical="center" indent="1"/>
    </xf>
    <xf numFmtId="349" fontId="15" fillId="0" borderId="117" applyNumberFormat="0" applyFill="0" applyAlignment="0" applyProtection="0"/>
    <xf numFmtId="349" fontId="15" fillId="0" borderId="117" applyNumberFormat="0" applyFill="0" applyAlignment="0" applyProtection="0"/>
    <xf numFmtId="37" fontId="64" fillId="0" borderId="116" applyNumberFormat="0"/>
    <xf numFmtId="4" fontId="257" fillId="33" borderId="108" applyNumberFormat="0" applyProtection="0">
      <alignment horizontal="right" vertical="center"/>
    </xf>
    <xf numFmtId="4" fontId="256" fillId="35" borderId="114" applyNumberFormat="0" applyProtection="0">
      <alignment horizontal="left" vertical="center" indent="1"/>
    </xf>
    <xf numFmtId="349" fontId="255" fillId="19" borderId="113" applyNumberFormat="0" applyProtection="0">
      <alignment horizontal="left" vertical="top" indent="1"/>
    </xf>
    <xf numFmtId="4" fontId="53" fillId="64" borderId="108" applyNumberFormat="0" applyProtection="0">
      <alignment horizontal="left" vertical="center"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4" fontId="255" fillId="61" borderId="113" applyNumberFormat="0" applyProtection="0">
      <alignment horizontal="left" vertical="center" indent="1"/>
    </xf>
    <xf numFmtId="4" fontId="255" fillId="34" borderId="113" applyNumberFormat="0" applyProtection="0">
      <alignment vertical="center"/>
    </xf>
    <xf numFmtId="349" fontId="93" fillId="31" borderId="115" applyBorder="0"/>
    <xf numFmtId="349" fontId="53" fillId="32" borderId="108" applyNumberFormat="0" applyProtection="0">
      <alignment horizontal="left" vertical="center"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0" borderId="108"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32" borderId="108"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251" fillId="127" borderId="108" applyNumberFormat="0" applyAlignment="0" applyProtection="0"/>
    <xf numFmtId="349" fontId="251" fillId="127" borderId="108"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84" fillId="127" borderId="112" applyNumberFormat="0" applyAlignment="0" applyProtection="0"/>
    <xf numFmtId="349" fontId="184" fillId="127" borderId="112" applyNumberFormat="0" applyAlignment="0" applyProtection="0"/>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349" fontId="254" fillId="18" borderId="113" applyNumberFormat="0" applyProtection="0">
      <alignment horizontal="left" vertical="top"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2" borderId="114" applyNumberFormat="0" applyProtection="0">
      <alignment horizontal="right" vertical="center"/>
    </xf>
    <xf numFmtId="4" fontId="53" fillId="23" borderId="108" applyNumberFormat="0" applyProtection="0">
      <alignment horizontal="right" vertical="center"/>
    </xf>
    <xf numFmtId="4" fontId="53" fillId="24" borderId="108" applyNumberFormat="0" applyProtection="0">
      <alignment horizontal="right" vertical="center"/>
    </xf>
    <xf numFmtId="4" fontId="53" fillId="25" borderId="108" applyNumberFormat="0" applyProtection="0">
      <alignment horizontal="right" vertical="center"/>
    </xf>
    <xf numFmtId="4" fontId="53" fillId="26"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29" borderId="114" applyNumberFormat="0" applyProtection="0">
      <alignment horizontal="left" vertical="center" indent="1"/>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19" borderId="108" applyNumberFormat="0" applyProtection="0">
      <alignment horizontal="right" vertical="center"/>
    </xf>
    <xf numFmtId="4" fontId="53" fillId="30" borderId="114" applyNumberFormat="0" applyProtection="0">
      <alignment horizontal="left" vertical="center" indent="1"/>
    </xf>
    <xf numFmtId="4" fontId="53" fillId="19" borderId="114" applyNumberFormat="0" applyProtection="0">
      <alignment horizontal="left" vertical="center" indent="1"/>
    </xf>
    <xf numFmtId="349" fontId="53" fillId="61" borderId="108"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255" fillId="19"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0" borderId="108"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32" borderId="108" applyNumberFormat="0" applyProtection="0">
      <alignment horizontal="left" vertical="center" indent="1"/>
    </xf>
    <xf numFmtId="169" fontId="13" fillId="0" borderId="0" applyFont="0" applyFill="0" applyBorder="0" applyAlignment="0" applyProtection="0"/>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1" borderId="113" applyNumberFormat="0" applyProtection="0">
      <alignment horizontal="left" vertical="top" indent="1"/>
    </xf>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4" fontId="53" fillId="0" borderId="108" applyNumberFormat="0" applyProtection="0">
      <alignment horizontal="right" vertical="center"/>
    </xf>
    <xf numFmtId="349" fontId="15" fillId="0" borderId="117" applyNumberFormat="0" applyFill="0" applyAlignment="0" applyProtection="0"/>
    <xf numFmtId="349" fontId="15" fillId="0" borderId="117" applyNumberFormat="0" applyFill="0" applyAlignment="0" applyProtection="0"/>
    <xf numFmtId="37" fontId="64" fillId="0" borderId="116" applyNumberFormat="0"/>
    <xf numFmtId="4" fontId="257" fillId="33" borderId="108" applyNumberFormat="0" applyProtection="0">
      <alignment horizontal="right" vertical="center"/>
    </xf>
    <xf numFmtId="4" fontId="256" fillId="35" borderId="114" applyNumberFormat="0" applyProtection="0">
      <alignment horizontal="left" vertical="center" indent="1"/>
    </xf>
    <xf numFmtId="4" fontId="53" fillId="64" borderId="108" applyNumberFormat="0" applyProtection="0">
      <alignment horizontal="left" vertical="center"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4" fontId="255" fillId="61" borderId="113" applyNumberFormat="0" applyProtection="0">
      <alignment horizontal="left" vertical="center" indent="1"/>
    </xf>
    <xf numFmtId="4" fontId="255" fillId="34" borderId="113" applyNumberFormat="0" applyProtection="0">
      <alignment vertical="center"/>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4" fontId="53" fillId="26" borderId="108" applyNumberFormat="0" applyProtection="0">
      <alignment horizontal="right" vertical="center"/>
    </xf>
    <xf numFmtId="214" fontId="64" fillId="0" borderId="28" applyFill="0"/>
    <xf numFmtId="349" fontId="53" fillId="83" borderId="108" applyNumberFormat="0" applyProtection="0">
      <alignment horizontal="left" vertical="center" indent="1"/>
    </xf>
    <xf numFmtId="4" fontId="53" fillId="24" borderId="108" applyNumberFormat="0" applyProtection="0">
      <alignment horizontal="right" vertical="center"/>
    </xf>
    <xf numFmtId="4" fontId="53" fillId="23" borderId="108" applyNumberFormat="0" applyProtection="0">
      <alignment horizontal="right" vertical="center"/>
    </xf>
    <xf numFmtId="349" fontId="251" fillId="127" borderId="108" applyNumberFormat="0" applyAlignment="0" applyProtection="0"/>
    <xf numFmtId="349" fontId="251" fillId="127" borderId="108" applyNumberFormat="0" applyAlignment="0" applyProtection="0"/>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9" fillId="30" borderId="113" applyNumberFormat="0" applyProtection="0">
      <alignment horizontal="left" vertical="center" indent="1"/>
    </xf>
    <xf numFmtId="349" fontId="15" fillId="0" borderId="117" applyNumberFormat="0" applyFill="0" applyAlignment="0" applyProtection="0"/>
    <xf numFmtId="349" fontId="15" fillId="0" borderId="117" applyNumberFormat="0" applyFill="0" applyAlignment="0" applyProtection="0"/>
    <xf numFmtId="37" fontId="64" fillId="0" borderId="116" applyNumberFormat="0"/>
    <xf numFmtId="4" fontId="257" fillId="33" borderId="108" applyNumberFormat="0" applyProtection="0">
      <alignment horizontal="right" vertical="center"/>
    </xf>
    <xf numFmtId="4" fontId="256" fillId="35" borderId="114" applyNumberFormat="0" applyProtection="0">
      <alignment horizontal="left" vertical="center" indent="1"/>
    </xf>
    <xf numFmtId="349" fontId="255" fillId="19" borderId="113" applyNumberFormat="0" applyProtection="0">
      <alignment horizontal="left" vertical="top" indent="1"/>
    </xf>
    <xf numFmtId="4" fontId="53" fillId="64" borderId="108" applyNumberFormat="0" applyProtection="0">
      <alignment horizontal="left" vertical="center"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4" fontId="255" fillId="61" borderId="113" applyNumberFormat="0" applyProtection="0">
      <alignment horizontal="left" vertical="center" indent="1"/>
    </xf>
    <xf numFmtId="4" fontId="255" fillId="34" borderId="113" applyNumberFormat="0" applyProtection="0">
      <alignment vertical="center"/>
    </xf>
    <xf numFmtId="349" fontId="93" fillId="31" borderId="115" applyBorder="0"/>
    <xf numFmtId="349" fontId="53" fillId="32" borderId="108" applyNumberFormat="0" applyProtection="0">
      <alignment horizontal="left" vertical="center"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0" borderId="108"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32" borderId="108"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53" fillId="61" borderId="108" applyNumberFormat="0" applyProtection="0">
      <alignment horizontal="left" vertical="center" indent="1"/>
    </xf>
    <xf numFmtId="4" fontId="53" fillId="19" borderId="108" applyNumberFormat="0" applyProtection="0">
      <alignment horizontal="right" vertical="center"/>
    </xf>
    <xf numFmtId="4" fontId="53" fillId="28" borderId="108" applyNumberFormat="0" applyProtection="0">
      <alignment horizontal="right" vertical="center"/>
    </xf>
    <xf numFmtId="4" fontId="53" fillId="27" borderId="108" applyNumberFormat="0" applyProtection="0">
      <alignment horizontal="right" vertical="center"/>
    </xf>
    <xf numFmtId="4" fontId="53" fillId="25" borderId="108"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251" fillId="127" borderId="108" applyNumberFormat="0" applyAlignment="0" applyProtection="0"/>
    <xf numFmtId="349" fontId="251" fillId="127" borderId="108"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84" fillId="127" borderId="112" applyNumberFormat="0" applyAlignment="0" applyProtection="0"/>
    <xf numFmtId="349" fontId="184" fillId="127" borderId="112" applyNumberFormat="0" applyAlignment="0" applyProtection="0"/>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349" fontId="254" fillId="18" borderId="113" applyNumberFormat="0" applyProtection="0">
      <alignment horizontal="left" vertical="top"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2" borderId="114" applyNumberFormat="0" applyProtection="0">
      <alignment horizontal="right" vertical="center"/>
    </xf>
    <xf numFmtId="4" fontId="53" fillId="23" borderId="108" applyNumberFormat="0" applyProtection="0">
      <alignment horizontal="right" vertical="center"/>
    </xf>
    <xf numFmtId="4" fontId="53" fillId="24" borderId="108" applyNumberFormat="0" applyProtection="0">
      <alignment horizontal="right" vertical="center"/>
    </xf>
    <xf numFmtId="4" fontId="53" fillId="25" borderId="108" applyNumberFormat="0" applyProtection="0">
      <alignment horizontal="right" vertical="center"/>
    </xf>
    <xf numFmtId="4" fontId="53" fillId="26"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29" borderId="114" applyNumberFormat="0" applyProtection="0">
      <alignment horizontal="left" vertical="center" indent="1"/>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19" borderId="108" applyNumberFormat="0" applyProtection="0">
      <alignment horizontal="right" vertical="center"/>
    </xf>
    <xf numFmtId="4" fontId="53" fillId="30" borderId="114" applyNumberFormat="0" applyProtection="0">
      <alignment horizontal="left" vertical="center" indent="1"/>
    </xf>
    <xf numFmtId="4" fontId="53" fillId="19" borderId="114" applyNumberFormat="0" applyProtection="0">
      <alignment horizontal="left" vertical="center" indent="1"/>
    </xf>
    <xf numFmtId="349" fontId="53" fillId="61" borderId="108"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53" fillId="30" borderId="113" applyNumberFormat="0" applyProtection="0">
      <alignment horizontal="left" vertical="top" indent="1"/>
    </xf>
    <xf numFmtId="4" fontId="255" fillId="61" borderId="113" applyNumberFormat="0" applyProtection="0">
      <alignment horizontal="left" vertical="center" indent="1"/>
    </xf>
    <xf numFmtId="214" fontId="64" fillId="0" borderId="28" applyFill="0"/>
    <xf numFmtId="349" fontId="53" fillId="30" borderId="113" applyNumberFormat="0" applyProtection="0">
      <alignment horizontal="left" vertical="top" indent="1"/>
    </xf>
    <xf numFmtId="349" fontId="255" fillId="19" borderId="113" applyNumberFormat="0" applyProtection="0">
      <alignment horizontal="left" vertical="top" indent="1"/>
    </xf>
    <xf numFmtId="349" fontId="53" fillId="32" borderId="113" applyNumberFormat="0" applyProtection="0">
      <alignment horizontal="left" vertical="top" indent="1"/>
    </xf>
    <xf numFmtId="349" fontId="53" fillId="31" borderId="113" applyNumberFormat="0" applyProtection="0">
      <alignment horizontal="left" vertical="top" indent="1"/>
    </xf>
    <xf numFmtId="4" fontId="53" fillId="27" borderId="108" applyNumberFormat="0" applyProtection="0">
      <alignment horizontal="right" vertical="center"/>
    </xf>
    <xf numFmtId="349" fontId="53" fillId="19" borderId="113" applyNumberFormat="0" applyProtection="0">
      <alignment horizontal="left" vertical="top" indent="1"/>
    </xf>
    <xf numFmtId="169" fontId="12" fillId="0" borderId="0" applyFont="0" applyFill="0" applyBorder="0" applyAlignment="0" applyProtection="0"/>
    <xf numFmtId="349" fontId="53" fillId="19" borderId="113" applyNumberFormat="0" applyProtection="0">
      <alignment horizontal="left" vertical="top" indent="1"/>
    </xf>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31" borderId="113" applyNumberFormat="0" applyProtection="0">
      <alignment horizontal="left" vertical="top" indent="1"/>
    </xf>
    <xf numFmtId="4" fontId="53" fillId="64" borderId="108" applyNumberFormat="0" applyProtection="0">
      <alignment horizontal="left" vertical="center" indent="1"/>
    </xf>
    <xf numFmtId="349" fontId="53" fillId="32" borderId="113" applyNumberFormat="0" applyProtection="0">
      <alignment horizontal="left" vertical="top" indent="1"/>
    </xf>
    <xf numFmtId="349" fontId="15" fillId="0" borderId="117" applyNumberFormat="0" applyFill="0" applyAlignment="0" applyProtection="0"/>
    <xf numFmtId="349" fontId="15" fillId="0" borderId="117" applyNumberFormat="0" applyFill="0" applyAlignment="0" applyProtection="0"/>
    <xf numFmtId="4" fontId="53" fillId="28" borderId="108" applyNumberFormat="0" applyProtection="0">
      <alignment horizontal="right" vertical="center"/>
    </xf>
    <xf numFmtId="349" fontId="53" fillId="30" borderId="113" applyNumberFormat="0" applyProtection="0">
      <alignment horizontal="left" vertical="top" indent="1"/>
    </xf>
    <xf numFmtId="37" fontId="64" fillId="0" borderId="116" applyNumberFormat="0"/>
    <xf numFmtId="349" fontId="53" fillId="19" borderId="113" applyNumberFormat="0" applyProtection="0">
      <alignment horizontal="left" vertical="top" indent="1"/>
    </xf>
    <xf numFmtId="349" fontId="254" fillId="18" borderId="113" applyNumberFormat="0" applyProtection="0">
      <alignment horizontal="left" vertical="top" indent="1"/>
    </xf>
    <xf numFmtId="349" fontId="53" fillId="13" borderId="108" applyNumberFormat="0" applyFont="0" applyAlignment="0" applyProtection="0"/>
    <xf numFmtId="4" fontId="257" fillId="33" borderId="108" applyNumberFormat="0" applyProtection="0">
      <alignment horizontal="right" vertical="center"/>
    </xf>
    <xf numFmtId="4" fontId="256" fillId="35" borderId="114" applyNumberFormat="0" applyProtection="0">
      <alignment horizontal="left" vertical="center" indent="1"/>
    </xf>
    <xf numFmtId="349" fontId="255" fillId="19" borderId="113" applyNumberFormat="0" applyProtection="0">
      <alignment horizontal="left" vertical="top" indent="1"/>
    </xf>
    <xf numFmtId="4" fontId="53" fillId="64" borderId="108" applyNumberFormat="0" applyProtection="0">
      <alignment horizontal="left" vertical="center"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4" fontId="255" fillId="61" borderId="113" applyNumberFormat="0" applyProtection="0">
      <alignment horizontal="left" vertical="center" indent="1"/>
    </xf>
    <xf numFmtId="4" fontId="255" fillId="34" borderId="113" applyNumberFormat="0" applyProtection="0">
      <alignment vertical="center"/>
    </xf>
    <xf numFmtId="349" fontId="93" fillId="31" borderId="115" applyBorder="0"/>
    <xf numFmtId="4" fontId="53" fillId="25" borderId="108" applyNumberFormat="0" applyProtection="0">
      <alignment horizontal="right" vertical="center"/>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0" borderId="108"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32" borderId="108"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4" fontId="53" fillId="27" borderId="108" applyNumberFormat="0" applyProtection="0">
      <alignment horizontal="right" vertical="center"/>
    </xf>
    <xf numFmtId="4" fontId="53" fillId="25" borderId="108" applyNumberFormat="0" applyProtection="0">
      <alignment horizontal="right" vertical="center"/>
    </xf>
    <xf numFmtId="349" fontId="184" fillId="127" borderId="112" applyNumberFormat="0" applyAlignment="0" applyProtection="0"/>
    <xf numFmtId="349" fontId="53" fillId="61" borderId="108" applyNumberFormat="0" applyProtection="0">
      <alignment horizontal="left" vertical="center" indent="1"/>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4" fontId="53" fillId="130" borderId="108" applyNumberFormat="0" applyProtection="0">
      <alignment horizontal="right" vertical="center"/>
    </xf>
    <xf numFmtId="349" fontId="53" fillId="13" borderId="108" applyNumberFormat="0" applyFont="0" applyAlignment="0" applyProtection="0"/>
    <xf numFmtId="4" fontId="53" fillId="22" borderId="114" applyNumberFormat="0" applyProtection="0">
      <alignment horizontal="right" vertical="center"/>
    </xf>
    <xf numFmtId="349" fontId="184" fillId="127" borderId="112" applyNumberFormat="0" applyAlignment="0" applyProtection="0"/>
    <xf numFmtId="349" fontId="53" fillId="13" borderId="108" applyNumberFormat="0" applyFont="0" applyAlignment="0" applyProtection="0"/>
    <xf numFmtId="4" fontId="53" fillId="20" borderId="108" applyNumberFormat="0" applyProtection="0">
      <alignment horizontal="right" vertical="center"/>
    </xf>
    <xf numFmtId="4" fontId="53" fillId="18" borderId="108" applyNumberFormat="0" applyProtection="0">
      <alignment vertical="center"/>
    </xf>
    <xf numFmtId="4" fontId="53" fillId="24" borderId="108" applyNumberFormat="0" applyProtection="0">
      <alignment horizontal="right" vertical="center"/>
    </xf>
    <xf numFmtId="4" fontId="253" fillId="45" borderId="108" applyNumberFormat="0" applyProtection="0">
      <alignment vertical="center"/>
    </xf>
    <xf numFmtId="169" fontId="12" fillId="0" borderId="0" applyFont="0" applyFill="0" applyBorder="0" applyAlignment="0" applyProtection="0"/>
    <xf numFmtId="349" fontId="142" fillId="14" borderId="108" applyNumberFormat="0" applyAlignment="0" applyProtection="0"/>
    <xf numFmtId="349" fontId="53" fillId="61" borderId="108" applyNumberFormat="0" applyProtection="0">
      <alignment horizontal="left" vertical="center" indent="1"/>
    </xf>
    <xf numFmtId="349" fontId="53" fillId="13" borderId="108" applyNumberFormat="0" applyFont="0" applyAlignment="0" applyProtection="0"/>
    <xf numFmtId="349" fontId="142" fillId="14" borderId="108" applyNumberFormat="0" applyAlignment="0" applyProtection="0"/>
    <xf numFmtId="4" fontId="253" fillId="45" borderId="108" applyNumberFormat="0" applyProtection="0">
      <alignment vertical="center"/>
    </xf>
    <xf numFmtId="169" fontId="12" fillId="0" borderId="0" applyFont="0" applyFill="0" applyBorder="0" applyAlignment="0" applyProtection="0"/>
    <xf numFmtId="4" fontId="53" fillId="19" borderId="108" applyNumberFormat="0" applyProtection="0">
      <alignment horizontal="right" vertical="center"/>
    </xf>
    <xf numFmtId="4" fontId="53" fillId="18" borderId="108" applyNumberFormat="0" applyProtection="0">
      <alignment vertical="center"/>
    </xf>
    <xf numFmtId="4" fontId="53" fillId="18" borderId="108" applyNumberFormat="0" applyProtection="0">
      <alignment vertical="center"/>
    </xf>
    <xf numFmtId="4" fontId="53" fillId="19" borderId="108" applyNumberFormat="0" applyProtection="0">
      <alignment horizontal="right" vertical="center"/>
    </xf>
    <xf numFmtId="4" fontId="53" fillId="23" borderId="108" applyNumberFormat="0" applyProtection="0">
      <alignment horizontal="right" vertical="center"/>
    </xf>
    <xf numFmtId="349" fontId="184" fillId="127" borderId="112" applyNumberFormat="0" applyAlignment="0" applyProtection="0"/>
    <xf numFmtId="349" fontId="53" fillId="13" borderId="108" applyNumberFormat="0" applyFont="0" applyAlignment="0" applyProtection="0"/>
    <xf numFmtId="4" fontId="53" fillId="130" borderId="108" applyNumberFormat="0" applyProtection="0">
      <alignment horizontal="right" vertical="center"/>
    </xf>
    <xf numFmtId="4" fontId="53" fillId="45" borderId="108" applyNumberFormat="0" applyProtection="0">
      <alignment horizontal="left" vertical="center" indent="1"/>
    </xf>
    <xf numFmtId="349" fontId="53" fillId="32" borderId="108" applyNumberFormat="0" applyProtection="0">
      <alignment horizontal="left" vertical="center" indent="1"/>
    </xf>
    <xf numFmtId="349" fontId="53" fillId="13" borderId="108" applyNumberFormat="0" applyFont="0" applyAlignment="0" applyProtection="0"/>
    <xf numFmtId="349" fontId="93" fillId="31" borderId="115" applyBorder="0"/>
    <xf numFmtId="349" fontId="15" fillId="0" borderId="117" applyNumberFormat="0" applyFill="0" applyAlignment="0" applyProtection="0"/>
    <xf numFmtId="169" fontId="12" fillId="0" borderId="0" applyFont="0" applyFill="0" applyBorder="0" applyAlignment="0" applyProtection="0"/>
    <xf numFmtId="349" fontId="251" fillId="127" borderId="108" applyNumberFormat="0" applyAlignment="0" applyProtection="0"/>
    <xf numFmtId="4" fontId="53" fillId="24" borderId="108" applyNumberFormat="0" applyProtection="0">
      <alignment horizontal="right" vertical="center"/>
    </xf>
    <xf numFmtId="349" fontId="53" fillId="13" borderId="108" applyNumberFormat="0" applyFont="0" applyAlignment="0" applyProtection="0"/>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4" fontId="53" fillId="64" borderId="108" applyNumberFormat="0" applyProtection="0">
      <alignment horizontal="left" vertical="center" indent="1"/>
    </xf>
    <xf numFmtId="349" fontId="255" fillId="19" borderId="113" applyNumberFormat="0" applyProtection="0">
      <alignment horizontal="left" vertical="top" indent="1"/>
    </xf>
    <xf numFmtId="349" fontId="15" fillId="0" borderId="117" applyNumberFormat="0" applyFill="0" applyAlignment="0" applyProtection="0"/>
    <xf numFmtId="349" fontId="53" fillId="13" borderId="108" applyNumberFormat="0" applyFont="0" applyAlignment="0" applyProtection="0"/>
    <xf numFmtId="4" fontId="253" fillId="45" borderId="108" applyNumberFormat="0" applyProtection="0">
      <alignment vertical="center"/>
    </xf>
    <xf numFmtId="349" fontId="53" fillId="83" borderId="108" applyNumberFormat="0" applyProtection="0">
      <alignment horizontal="left" vertical="center" indent="1"/>
    </xf>
    <xf numFmtId="37" fontId="64" fillId="0" borderId="116" applyNumberFormat="0"/>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53" fillId="19" borderId="113" applyNumberFormat="0" applyProtection="0">
      <alignment horizontal="left" vertical="top" indent="1"/>
    </xf>
    <xf numFmtId="349" fontId="9" fillId="32" borderId="113" applyNumberFormat="0" applyProtection="0">
      <alignment horizontal="left" vertical="top" indent="1"/>
    </xf>
    <xf numFmtId="349" fontId="53" fillId="19" borderId="113" applyNumberFormat="0" applyProtection="0">
      <alignment horizontal="left" vertical="top" indent="1"/>
    </xf>
    <xf numFmtId="349" fontId="53" fillId="61" borderId="108" applyNumberFormat="0" applyProtection="0">
      <alignment horizontal="left" vertical="center" indent="1"/>
    </xf>
    <xf numFmtId="4" fontId="53" fillId="28" borderId="108" applyNumberFormat="0" applyProtection="0">
      <alignment horizontal="right" vertical="center"/>
    </xf>
    <xf numFmtId="4" fontId="53" fillId="130" borderId="108" applyNumberFormat="0" applyProtection="0">
      <alignment horizontal="right" vertical="center"/>
    </xf>
    <xf numFmtId="4" fontId="53" fillId="64" borderId="108" applyNumberFormat="0" applyProtection="0">
      <alignment horizontal="left" vertical="center" indent="1"/>
    </xf>
    <xf numFmtId="4" fontId="253" fillId="45" borderId="108" applyNumberFormat="0" applyProtection="0">
      <alignment vertical="center"/>
    </xf>
    <xf numFmtId="4" fontId="257" fillId="33" borderId="108" applyNumberFormat="0" applyProtection="0">
      <alignment horizontal="right" vertical="center"/>
    </xf>
    <xf numFmtId="349" fontId="53" fillId="30" borderId="113" applyNumberFormat="0" applyProtection="0">
      <alignment horizontal="left" vertical="top" indent="1"/>
    </xf>
    <xf numFmtId="349" fontId="53" fillId="30" borderId="113" applyNumberFormat="0" applyProtection="0">
      <alignment horizontal="left" vertical="top" indent="1"/>
    </xf>
    <xf numFmtId="169" fontId="12" fillId="0" borderId="0" applyFont="0" applyFill="0" applyBorder="0" applyAlignment="0" applyProtection="0"/>
    <xf numFmtId="4" fontId="53" fillId="64" borderId="108" applyNumberFormat="0" applyProtection="0">
      <alignment horizontal="left" vertical="center" indent="1"/>
    </xf>
    <xf numFmtId="4" fontId="255" fillId="61" borderId="113" applyNumberFormat="0" applyProtection="0">
      <alignment horizontal="left" vertical="center" indent="1"/>
    </xf>
    <xf numFmtId="4" fontId="53" fillId="26" borderId="108" applyNumberFormat="0" applyProtection="0">
      <alignment horizontal="right" vertical="center"/>
    </xf>
    <xf numFmtId="4" fontId="53" fillId="24" borderId="108" applyNumberFormat="0" applyProtection="0">
      <alignment horizontal="right" vertical="center"/>
    </xf>
    <xf numFmtId="349" fontId="251" fillId="127" borderId="108" applyNumberFormat="0" applyAlignment="0" applyProtection="0"/>
    <xf numFmtId="169" fontId="12" fillId="0" borderId="0" applyFont="0" applyFill="0" applyBorder="0" applyAlignment="0" applyProtection="0"/>
    <xf numFmtId="169" fontId="12" fillId="0" borderId="0" applyFont="0" applyFill="0" applyBorder="0" applyAlignment="0" applyProtection="0"/>
    <xf numFmtId="349" fontId="53" fillId="30" borderId="113" applyNumberFormat="0" applyProtection="0">
      <alignment horizontal="left" vertical="top" indent="1"/>
    </xf>
    <xf numFmtId="4" fontId="253" fillId="45" borderId="108" applyNumberFormat="0" applyProtection="0">
      <alignment vertical="center"/>
    </xf>
    <xf numFmtId="4" fontId="53" fillId="20" borderId="108" applyNumberFormat="0" applyProtection="0">
      <alignment horizontal="right" vertical="center"/>
    </xf>
    <xf numFmtId="349" fontId="53" fillId="61" borderId="108" applyNumberFormat="0" applyProtection="0">
      <alignment horizontal="left" vertical="center" indent="1"/>
    </xf>
    <xf numFmtId="4" fontId="53" fillId="28" borderId="108" applyNumberFormat="0" applyProtection="0">
      <alignment horizontal="right" vertical="center"/>
    </xf>
    <xf numFmtId="4" fontId="53" fillId="25" borderId="108" applyNumberFormat="0" applyProtection="0">
      <alignment horizontal="right" vertical="center"/>
    </xf>
    <xf numFmtId="4" fontId="53" fillId="130" borderId="108" applyNumberFormat="0" applyProtection="0">
      <alignment horizontal="right" vertical="center"/>
    </xf>
    <xf numFmtId="4" fontId="53" fillId="27" borderId="108" applyNumberFormat="0" applyProtection="0">
      <alignment horizontal="right" vertical="center"/>
    </xf>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2" borderId="108" applyNumberFormat="0" applyProtection="0">
      <alignment horizontal="left" vertical="center"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184" fillId="127" borderId="112" applyNumberFormat="0" applyAlignment="0" applyProtection="0"/>
    <xf numFmtId="4" fontId="53" fillId="19" borderId="108" applyNumberFormat="0" applyProtection="0">
      <alignment horizontal="right" vertical="center"/>
    </xf>
    <xf numFmtId="169" fontId="7" fillId="0" borderId="0" applyFont="0" applyFill="0" applyBorder="0" applyAlignment="0" applyProtection="0"/>
    <xf numFmtId="4" fontId="53" fillId="23" borderId="108" applyNumberFormat="0" applyProtection="0">
      <alignment horizontal="right" vertical="center"/>
    </xf>
    <xf numFmtId="349" fontId="9" fillId="19" borderId="113" applyNumberFormat="0" applyProtection="0">
      <alignment horizontal="left" vertical="top" indent="1"/>
    </xf>
    <xf numFmtId="349" fontId="142" fillId="14" borderId="108" applyNumberFormat="0" applyAlignment="0" applyProtection="0"/>
    <xf numFmtId="349" fontId="15" fillId="0" borderId="117" applyNumberFormat="0" applyFill="0" applyAlignment="0" applyProtection="0"/>
    <xf numFmtId="349" fontId="9" fillId="30" borderId="113" applyNumberFormat="0" applyProtection="0">
      <alignment horizontal="left" vertical="top" indent="1"/>
    </xf>
    <xf numFmtId="4" fontId="253" fillId="50" borderId="108" applyNumberFormat="0" applyProtection="0">
      <alignment horizontal="right" vertical="center"/>
    </xf>
    <xf numFmtId="4" fontId="53" fillId="45" borderId="108" applyNumberFormat="0" applyProtection="0">
      <alignment horizontal="left" vertical="center" indent="1"/>
    </xf>
    <xf numFmtId="349" fontId="53" fillId="30" borderId="113" applyNumberFormat="0" applyProtection="0">
      <alignment horizontal="left" vertical="top" indent="1"/>
    </xf>
    <xf numFmtId="4" fontId="53" fillId="64" borderId="108" applyNumberFormat="0" applyProtection="0">
      <alignment horizontal="left" vertical="center" indent="1"/>
    </xf>
    <xf numFmtId="349" fontId="53" fillId="13" borderId="108" applyNumberFormat="0" applyFont="0" applyAlignment="0" applyProtection="0"/>
    <xf numFmtId="349" fontId="53" fillId="13" borderId="108" applyNumberFormat="0" applyFont="0" applyAlignment="0" applyProtection="0"/>
    <xf numFmtId="349" fontId="251" fillId="127" borderId="108" applyNumberFormat="0" applyAlignment="0" applyProtection="0"/>
    <xf numFmtId="349" fontId="142" fillId="14" borderId="108" applyNumberFormat="0" applyAlignment="0" applyProtection="0"/>
    <xf numFmtId="349" fontId="53" fillId="13" borderId="108" applyNumberFormat="0" applyFont="0" applyAlignment="0" applyProtection="0"/>
    <xf numFmtId="349" fontId="184" fillId="127" borderId="112" applyNumberFormat="0" applyAlignment="0" applyProtection="0"/>
    <xf numFmtId="4" fontId="255" fillId="34" borderId="113" applyNumberFormat="0" applyProtection="0">
      <alignment vertical="center"/>
    </xf>
    <xf numFmtId="349" fontId="53" fillId="32" borderId="113" applyNumberFormat="0" applyProtection="0">
      <alignment horizontal="left" vertical="top" indent="1"/>
    </xf>
    <xf numFmtId="349" fontId="251" fillId="127" borderId="108" applyNumberFormat="0" applyAlignment="0" applyProtection="0"/>
    <xf numFmtId="349" fontId="53" fillId="13" borderId="108" applyNumberFormat="0" applyFont="0" applyAlignment="0" applyProtection="0"/>
    <xf numFmtId="4" fontId="53" fillId="0" borderId="108" applyNumberFormat="0" applyProtection="0">
      <alignment horizontal="right" vertical="center"/>
    </xf>
    <xf numFmtId="349" fontId="53" fillId="31" borderId="113" applyNumberFormat="0" applyProtection="0">
      <alignment horizontal="left" vertical="top" indent="1"/>
    </xf>
    <xf numFmtId="349" fontId="53" fillId="30" borderId="113" applyNumberFormat="0" applyProtection="0">
      <alignment horizontal="left" vertical="top" indent="1"/>
    </xf>
    <xf numFmtId="4" fontId="256" fillId="35" borderId="114" applyNumberFormat="0" applyProtection="0">
      <alignment horizontal="left" vertical="center" indent="1"/>
    </xf>
    <xf numFmtId="349" fontId="142" fillId="14" borderId="108" applyNumberFormat="0" applyAlignment="0" applyProtection="0"/>
    <xf numFmtId="349" fontId="53" fillId="19" borderId="113" applyNumberFormat="0" applyProtection="0">
      <alignment horizontal="left" vertical="top" indent="1"/>
    </xf>
    <xf numFmtId="349" fontId="53" fillId="30" borderId="113" applyNumberFormat="0" applyProtection="0">
      <alignment horizontal="left" vertical="top" indent="1"/>
    </xf>
    <xf numFmtId="349" fontId="53" fillId="30" borderId="108" applyNumberFormat="0" applyProtection="0">
      <alignment horizontal="left" vertical="center" indent="1"/>
    </xf>
    <xf numFmtId="4" fontId="53" fillId="20" borderId="108" applyNumberFormat="0" applyProtection="0">
      <alignment horizontal="right" vertical="center"/>
    </xf>
    <xf numFmtId="4" fontId="53" fillId="0" borderId="108" applyNumberFormat="0" applyProtection="0">
      <alignment horizontal="right" vertical="center"/>
    </xf>
    <xf numFmtId="214" fontId="64" fillId="0" borderId="28" applyFill="0"/>
    <xf numFmtId="349" fontId="53" fillId="13" borderId="108" applyNumberFormat="0" applyFont="0" applyAlignment="0" applyProtection="0"/>
    <xf numFmtId="4" fontId="53" fillId="64" borderId="108" applyNumberFormat="0" applyProtection="0">
      <alignment horizontal="left" vertical="center" indent="1"/>
    </xf>
    <xf numFmtId="349" fontId="53" fillId="13" borderId="108" applyNumberFormat="0" applyFont="0" applyAlignment="0" applyProtection="0"/>
    <xf numFmtId="349" fontId="53" fillId="13" borderId="108" applyNumberFormat="0" applyFont="0" applyAlignment="0" applyProtection="0"/>
    <xf numFmtId="349" fontId="53" fillId="31" borderId="113" applyNumberFormat="0" applyProtection="0">
      <alignment horizontal="left" vertical="top"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3" borderId="108" applyNumberFormat="0" applyFont="0" applyAlignment="0" applyProtection="0"/>
    <xf numFmtId="4" fontId="53" fillId="24" borderId="108" applyNumberFormat="0" applyProtection="0">
      <alignment horizontal="right" vertical="center"/>
    </xf>
    <xf numFmtId="349" fontId="53" fillId="32" borderId="113" applyNumberFormat="0" applyProtection="0">
      <alignment horizontal="left" vertical="top" indent="1"/>
    </xf>
    <xf numFmtId="4" fontId="53" fillId="64" borderId="108" applyNumberFormat="0" applyProtection="0">
      <alignment horizontal="left" vertical="center" indent="1"/>
    </xf>
    <xf numFmtId="349" fontId="53" fillId="31" borderId="113" applyNumberFormat="0" applyProtection="0">
      <alignment horizontal="left" vertical="top" indent="1"/>
    </xf>
    <xf numFmtId="349" fontId="251" fillId="127" borderId="108" applyNumberFormat="0" applyAlignment="0" applyProtection="0"/>
    <xf numFmtId="4" fontId="255" fillId="61" borderId="113" applyNumberFormat="0" applyProtection="0">
      <alignment horizontal="left" vertical="center" indent="1"/>
    </xf>
    <xf numFmtId="349" fontId="15" fillId="0" borderId="117" applyNumberFormat="0" applyFill="0" applyAlignment="0" applyProtection="0"/>
    <xf numFmtId="349" fontId="53" fillId="13" borderId="108" applyNumberFormat="0" applyFont="0" applyAlignment="0" applyProtection="0"/>
    <xf numFmtId="349" fontId="53" fillId="31" borderId="113" applyNumberFormat="0" applyProtection="0">
      <alignment horizontal="left" vertical="top" indent="1"/>
    </xf>
    <xf numFmtId="4" fontId="53" fillId="64" borderId="108" applyNumberFormat="0" applyProtection="0">
      <alignment horizontal="left" vertical="center" indent="1"/>
    </xf>
    <xf numFmtId="349" fontId="251" fillId="127" borderId="108" applyNumberFormat="0" applyAlignment="0" applyProtection="0"/>
    <xf numFmtId="4" fontId="257" fillId="33" borderId="108" applyNumberFormat="0" applyProtection="0">
      <alignment horizontal="right" vertical="center"/>
    </xf>
    <xf numFmtId="349" fontId="93" fillId="31" borderId="115" applyBorder="0"/>
    <xf numFmtId="349" fontId="53" fillId="13" borderId="108" applyNumberFormat="0" applyFont="0" applyAlignment="0" applyProtection="0"/>
    <xf numFmtId="4" fontId="53" fillId="64" borderId="108" applyNumberFormat="0" applyProtection="0">
      <alignment horizontal="left" vertical="center"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3" borderId="108" applyNumberFormat="0" applyFont="0" applyAlignment="0" applyProtection="0"/>
    <xf numFmtId="349" fontId="184" fillId="127" borderId="112" applyNumberFormat="0" applyAlignment="0" applyProtection="0"/>
    <xf numFmtId="4" fontId="53" fillId="20" borderId="108" applyNumberFormat="0" applyProtection="0">
      <alignment horizontal="right" vertical="center"/>
    </xf>
    <xf numFmtId="349" fontId="53" fillId="31" borderId="113" applyNumberFormat="0" applyProtection="0">
      <alignment horizontal="left" vertical="top" indent="1"/>
    </xf>
    <xf numFmtId="349" fontId="93" fillId="31" borderId="115" applyBorder="0"/>
    <xf numFmtId="4" fontId="53" fillId="28" borderId="108" applyNumberFormat="0" applyProtection="0">
      <alignment horizontal="right" vertical="center"/>
    </xf>
    <xf numFmtId="349" fontId="53" fillId="31" borderId="113" applyNumberFormat="0" applyProtection="0">
      <alignment horizontal="left" vertical="top" indent="1"/>
    </xf>
    <xf numFmtId="349" fontId="53" fillId="30" borderId="113" applyNumberFormat="0" applyProtection="0">
      <alignment horizontal="left" vertical="top" indent="1"/>
    </xf>
    <xf numFmtId="4" fontId="53" fillId="26" borderId="108" applyNumberFormat="0" applyProtection="0">
      <alignment horizontal="right" vertical="center"/>
    </xf>
    <xf numFmtId="349" fontId="53" fillId="32" borderId="113" applyNumberFormat="0" applyProtection="0">
      <alignment horizontal="left" vertical="top" indent="1"/>
    </xf>
    <xf numFmtId="349" fontId="9" fillId="32" borderId="113" applyNumberFormat="0" applyProtection="0">
      <alignment horizontal="left" vertical="center" indent="1"/>
    </xf>
    <xf numFmtId="4" fontId="53" fillId="0" borderId="108" applyNumberFormat="0" applyProtection="0">
      <alignment horizontal="right" vertical="center"/>
    </xf>
    <xf numFmtId="349" fontId="53" fillId="19" borderId="113" applyNumberFormat="0" applyProtection="0">
      <alignment horizontal="left" vertical="top" indent="1"/>
    </xf>
    <xf numFmtId="349" fontId="251" fillId="127" borderId="108" applyNumberFormat="0" applyAlignment="0" applyProtection="0"/>
    <xf numFmtId="349" fontId="142" fillId="14" borderId="108" applyNumberFormat="0" applyAlignment="0" applyProtection="0"/>
    <xf numFmtId="4" fontId="53" fillId="45" borderId="108" applyNumberFormat="0" applyProtection="0">
      <alignment horizontal="left" vertical="center" indent="1"/>
    </xf>
    <xf numFmtId="4" fontId="255" fillId="61" borderId="113" applyNumberFormat="0" applyProtection="0">
      <alignment horizontal="left" vertical="center" indent="1"/>
    </xf>
    <xf numFmtId="4" fontId="53" fillId="28" borderId="108" applyNumberFormat="0" applyProtection="0">
      <alignment horizontal="right" vertical="center"/>
    </xf>
    <xf numFmtId="4" fontId="253" fillId="50" borderId="108" applyNumberFormat="0" applyProtection="0">
      <alignment horizontal="right" vertical="center"/>
    </xf>
    <xf numFmtId="349" fontId="53" fillId="13" borderId="108" applyNumberFormat="0" applyFont="0" applyAlignment="0" applyProtection="0"/>
    <xf numFmtId="349" fontId="142" fillId="14" borderId="108" applyNumberFormat="0" applyAlignment="0" applyProtection="0"/>
    <xf numFmtId="349" fontId="53" fillId="13" borderId="108" applyNumberFormat="0" applyFont="0" applyAlignment="0" applyProtection="0"/>
    <xf numFmtId="4" fontId="257" fillId="33" borderId="108" applyNumberFormat="0" applyProtection="0">
      <alignment horizontal="right" vertical="center"/>
    </xf>
    <xf numFmtId="349" fontId="251" fillId="127" borderId="108"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4" fontId="53" fillId="0" borderId="108" applyNumberFormat="0" applyProtection="0">
      <alignment horizontal="right" vertical="center"/>
    </xf>
    <xf numFmtId="169" fontId="12" fillId="0" borderId="0" applyFont="0" applyFill="0" applyBorder="0" applyAlignment="0" applyProtection="0"/>
    <xf numFmtId="349" fontId="53" fillId="13" borderId="108" applyNumberFormat="0" applyFont="0" applyAlignment="0" applyProtection="0"/>
    <xf numFmtId="349" fontId="251" fillId="127" borderId="108" applyNumberFormat="0" applyAlignment="0" applyProtection="0"/>
    <xf numFmtId="349" fontId="255" fillId="34" borderId="113" applyNumberFormat="0" applyProtection="0">
      <alignment horizontal="left" vertical="top" indent="1"/>
    </xf>
    <xf numFmtId="349" fontId="9" fillId="30" borderId="113" applyNumberFormat="0" applyProtection="0">
      <alignment horizontal="left" vertical="center" indent="1"/>
    </xf>
    <xf numFmtId="4" fontId="257" fillId="33" borderId="108" applyNumberFormat="0" applyProtection="0">
      <alignment horizontal="right" vertical="center"/>
    </xf>
    <xf numFmtId="349" fontId="53" fillId="30" borderId="108" applyNumberFormat="0" applyProtection="0">
      <alignment horizontal="left" vertical="center" indent="1"/>
    </xf>
    <xf numFmtId="349" fontId="53" fillId="83" borderId="108" applyNumberFormat="0" applyProtection="0">
      <alignment horizontal="left" vertical="center" indent="1"/>
    </xf>
    <xf numFmtId="4" fontId="53" fillId="20" borderId="108" applyNumberFormat="0" applyProtection="0">
      <alignment horizontal="right" vertical="center"/>
    </xf>
    <xf numFmtId="349" fontId="53" fillId="19" borderId="113" applyNumberFormat="0" applyProtection="0">
      <alignment horizontal="left" vertical="top" indent="1"/>
    </xf>
    <xf numFmtId="349" fontId="53" fillId="83" borderId="108" applyNumberFormat="0" applyProtection="0">
      <alignment horizontal="left" vertical="center" indent="1"/>
    </xf>
    <xf numFmtId="349" fontId="53" fillId="13" borderId="108" applyNumberFormat="0" applyFont="0" applyAlignment="0" applyProtection="0"/>
    <xf numFmtId="349" fontId="53" fillId="31" borderId="113" applyNumberFormat="0" applyProtection="0">
      <alignment horizontal="left" vertical="top" indent="1"/>
    </xf>
    <xf numFmtId="349" fontId="53" fillId="30" borderId="113" applyNumberFormat="0" applyProtection="0">
      <alignment horizontal="left" vertical="top" indent="1"/>
    </xf>
    <xf numFmtId="349" fontId="53" fillId="13" borderId="108" applyNumberFormat="0" applyFont="0" applyAlignment="0" applyProtection="0"/>
    <xf numFmtId="4" fontId="53" fillId="23" borderId="108" applyNumberFormat="0" applyProtection="0">
      <alignment horizontal="right" vertical="center"/>
    </xf>
    <xf numFmtId="349" fontId="53" fillId="32" borderId="108" applyNumberFormat="0" applyProtection="0">
      <alignment horizontal="left" vertical="center" indent="1"/>
    </xf>
    <xf numFmtId="349" fontId="53" fillId="30" borderId="113" applyNumberFormat="0" applyProtection="0">
      <alignment horizontal="left" vertical="top" indent="1"/>
    </xf>
    <xf numFmtId="4" fontId="53" fillId="19" borderId="108" applyNumberFormat="0" applyProtection="0">
      <alignment horizontal="right" vertical="center"/>
    </xf>
    <xf numFmtId="349" fontId="255" fillId="34" borderId="113" applyNumberFormat="0" applyProtection="0">
      <alignment horizontal="left" vertical="top" indent="1"/>
    </xf>
    <xf numFmtId="349" fontId="15" fillId="0" borderId="117" applyNumberFormat="0" applyFill="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31" borderId="113" applyNumberFormat="0" applyProtection="0">
      <alignment horizontal="left" vertical="top" indent="1"/>
    </xf>
    <xf numFmtId="349" fontId="53" fillId="30" borderId="113" applyNumberFormat="0" applyProtection="0">
      <alignment horizontal="left" vertical="top" indent="1"/>
    </xf>
    <xf numFmtId="37" fontId="64" fillId="0" borderId="116" applyNumberFormat="0"/>
    <xf numFmtId="349" fontId="53" fillId="19" borderId="113" applyNumberFormat="0" applyProtection="0">
      <alignment horizontal="left" vertical="top" indent="1"/>
    </xf>
    <xf numFmtId="349" fontId="53" fillId="13" borderId="108" applyNumberFormat="0" applyFont="0" applyAlignment="0" applyProtection="0"/>
    <xf numFmtId="349" fontId="53" fillId="30" borderId="113" applyNumberFormat="0" applyProtection="0">
      <alignment horizontal="left" vertical="top" indent="1"/>
    </xf>
    <xf numFmtId="349" fontId="251" fillId="127" borderId="108" applyNumberFormat="0" applyAlignment="0" applyProtection="0"/>
    <xf numFmtId="349" fontId="53" fillId="31" borderId="113" applyNumberFormat="0" applyProtection="0">
      <alignment horizontal="left" vertical="top" indent="1"/>
    </xf>
    <xf numFmtId="349" fontId="53" fillId="32" borderId="113" applyNumberFormat="0" applyProtection="0">
      <alignment horizontal="left" vertical="top" indent="1"/>
    </xf>
    <xf numFmtId="4" fontId="255" fillId="34" borderId="113" applyNumberFormat="0" applyProtection="0">
      <alignment vertical="center"/>
    </xf>
    <xf numFmtId="37" fontId="64" fillId="0" borderId="116" applyNumberFormat="0"/>
    <xf numFmtId="349" fontId="53" fillId="13" borderId="108" applyNumberFormat="0" applyFont="0" applyAlignment="0" applyProtection="0"/>
    <xf numFmtId="349" fontId="53" fillId="31" borderId="113" applyNumberFormat="0" applyProtection="0">
      <alignment horizontal="left" vertical="top" indent="1"/>
    </xf>
    <xf numFmtId="4" fontId="53" fillId="20" borderId="108" applyNumberFormat="0" applyProtection="0">
      <alignment horizontal="right" vertical="center"/>
    </xf>
    <xf numFmtId="349" fontId="142" fillId="14" borderId="108" applyNumberFormat="0" applyAlignment="0" applyProtection="0"/>
    <xf numFmtId="4" fontId="253" fillId="50" borderId="108" applyNumberFormat="0" applyProtection="0">
      <alignment horizontal="right" vertical="center"/>
    </xf>
    <xf numFmtId="349" fontId="53" fillId="31" borderId="113" applyNumberFormat="0" applyProtection="0">
      <alignment horizontal="left" vertical="top" indent="1"/>
    </xf>
    <xf numFmtId="4" fontId="256" fillId="35" borderId="114" applyNumberFormat="0" applyProtection="0">
      <alignment horizontal="left" vertical="center"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4" fontId="53" fillId="30" borderId="114" applyNumberFormat="0" applyProtection="0">
      <alignment horizontal="left" vertical="center" indent="1"/>
    </xf>
    <xf numFmtId="349" fontId="255" fillId="34" borderId="113" applyNumberFormat="0" applyProtection="0">
      <alignment horizontal="left" vertical="top" indent="1"/>
    </xf>
    <xf numFmtId="349" fontId="53" fillId="31" borderId="113" applyNumberFormat="0" applyProtection="0">
      <alignment horizontal="left" vertical="top" indent="1"/>
    </xf>
    <xf numFmtId="4" fontId="53" fillId="18" borderId="108" applyNumberFormat="0" applyProtection="0">
      <alignment vertical="center"/>
    </xf>
    <xf numFmtId="4" fontId="53" fillId="64" borderId="108" applyNumberFormat="0" applyProtection="0">
      <alignment horizontal="left" vertical="center" indent="1"/>
    </xf>
    <xf numFmtId="4" fontId="9" fillId="31" borderId="114" applyNumberFormat="0" applyProtection="0">
      <alignment horizontal="left" vertical="center" indent="1"/>
    </xf>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30" borderId="113" applyNumberFormat="0" applyProtection="0">
      <alignment horizontal="left" vertical="top" indent="1"/>
    </xf>
    <xf numFmtId="4" fontId="255" fillId="61" borderId="113" applyNumberFormat="0" applyProtection="0">
      <alignment horizontal="left" vertical="center" indent="1"/>
    </xf>
    <xf numFmtId="4" fontId="253" fillId="50" borderId="108" applyNumberFormat="0" applyProtection="0">
      <alignment horizontal="right" vertical="center"/>
    </xf>
    <xf numFmtId="349" fontId="53" fillId="13" borderId="108" applyNumberFormat="0" applyFont="0" applyAlignment="0" applyProtection="0"/>
    <xf numFmtId="349" fontId="53" fillId="30" borderId="113" applyNumberFormat="0" applyProtection="0">
      <alignment horizontal="left" vertical="top" indent="1"/>
    </xf>
    <xf numFmtId="349" fontId="53" fillId="19" borderId="113" applyNumberFormat="0" applyProtection="0">
      <alignment horizontal="left" vertical="top" indent="1"/>
    </xf>
    <xf numFmtId="4" fontId="257" fillId="33" borderId="108" applyNumberFormat="0" applyProtection="0">
      <alignment horizontal="right" vertical="center"/>
    </xf>
    <xf numFmtId="37" fontId="64" fillId="0" borderId="116" applyNumberFormat="0"/>
    <xf numFmtId="349" fontId="15" fillId="0" borderId="117" applyNumberFormat="0" applyFill="0" applyAlignment="0" applyProtection="0"/>
    <xf numFmtId="349" fontId="15" fillId="0" borderId="117" applyNumberFormat="0" applyFill="0" applyAlignment="0" applyProtection="0"/>
    <xf numFmtId="349" fontId="53" fillId="30" borderId="108" applyNumberFormat="0" applyProtection="0">
      <alignment horizontal="left" vertical="center" indent="1"/>
    </xf>
    <xf numFmtId="349" fontId="251" fillId="127" borderId="108" applyNumberFormat="0" applyAlignment="0" applyProtection="0"/>
    <xf numFmtId="349" fontId="251" fillId="127" borderId="108" applyNumberFormat="0" applyAlignment="0" applyProtection="0"/>
    <xf numFmtId="214" fontId="64" fillId="0" borderId="28" applyFill="0"/>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4" fontId="257" fillId="33" borderId="108" applyNumberFormat="0" applyProtection="0">
      <alignment horizontal="right" vertical="center"/>
    </xf>
    <xf numFmtId="349" fontId="53" fillId="32" borderId="113" applyNumberFormat="0" applyProtection="0">
      <alignment horizontal="left" vertical="top" indent="1"/>
    </xf>
    <xf numFmtId="4" fontId="255" fillId="61" borderId="113" applyNumberFormat="0" applyProtection="0">
      <alignment horizontal="left" vertical="center" indent="1"/>
    </xf>
    <xf numFmtId="4" fontId="255" fillId="34" borderId="113" applyNumberFormat="0" applyProtection="0">
      <alignment vertical="center"/>
    </xf>
    <xf numFmtId="349" fontId="9" fillId="32" borderId="113" applyNumberFormat="0" applyProtection="0">
      <alignment horizontal="left" vertical="top" indent="1"/>
    </xf>
    <xf numFmtId="349" fontId="53" fillId="32" borderId="108" applyNumberFormat="0" applyProtection="0">
      <alignment horizontal="left" vertical="center" indent="1"/>
    </xf>
    <xf numFmtId="349" fontId="53" fillId="31" borderId="113" applyNumberFormat="0" applyProtection="0">
      <alignment horizontal="left" vertical="top" indent="1"/>
    </xf>
    <xf numFmtId="349" fontId="53" fillId="13" borderId="108" applyNumberFormat="0" applyFont="0" applyAlignment="0" applyProtection="0"/>
    <xf numFmtId="349" fontId="53" fillId="30" borderId="113" applyNumberFormat="0" applyProtection="0">
      <alignment horizontal="left" vertical="top" indent="1"/>
    </xf>
    <xf numFmtId="349" fontId="53" fillId="19" borderId="113" applyNumberFormat="0" applyProtection="0">
      <alignment horizontal="left" vertical="top" indent="1"/>
    </xf>
    <xf numFmtId="349" fontId="251" fillId="127" borderId="108" applyNumberFormat="0" applyAlignment="0" applyProtection="0"/>
    <xf numFmtId="349" fontId="15" fillId="0" borderId="117" applyNumberFormat="0" applyFill="0" applyAlignment="0" applyProtection="0"/>
    <xf numFmtId="349" fontId="15" fillId="0" borderId="117" applyNumberFormat="0" applyFill="0" applyAlignment="0" applyProtection="0"/>
    <xf numFmtId="37" fontId="64" fillId="0" borderId="116" applyNumberFormat="0"/>
    <xf numFmtId="4" fontId="257" fillId="33" borderId="108" applyNumberFormat="0" applyProtection="0">
      <alignment horizontal="right" vertical="center"/>
    </xf>
    <xf numFmtId="4" fontId="256" fillId="35" borderId="114" applyNumberFormat="0" applyProtection="0">
      <alignment horizontal="left" vertical="center" indent="1"/>
    </xf>
    <xf numFmtId="349" fontId="255" fillId="19" borderId="113" applyNumberFormat="0" applyProtection="0">
      <alignment horizontal="left" vertical="top" indent="1"/>
    </xf>
    <xf numFmtId="4" fontId="53" fillId="64" borderId="108" applyNumberFormat="0" applyProtection="0">
      <alignment horizontal="left" vertical="center"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42" fillId="14" borderId="108" applyNumberFormat="0" applyAlignment="0" applyProtection="0"/>
    <xf numFmtId="349" fontId="142" fillId="14" borderId="108" applyNumberFormat="0" applyAlignment="0" applyProtection="0"/>
    <xf numFmtId="349" fontId="251" fillId="127" borderId="108" applyNumberFormat="0" applyAlignment="0" applyProtection="0"/>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9" fillId="19" borderId="113" applyNumberFormat="0" applyProtection="0">
      <alignment horizontal="left" vertical="top" indent="1"/>
    </xf>
    <xf numFmtId="349" fontId="53" fillId="31" borderId="113" applyNumberFormat="0" applyProtection="0">
      <alignment horizontal="left" vertical="top" indent="1"/>
    </xf>
    <xf numFmtId="349" fontId="93" fillId="31" borderId="115" applyBorder="0"/>
    <xf numFmtId="349" fontId="53" fillId="13" borderId="108" applyNumberFormat="0" applyFont="0" applyAlignment="0" applyProtection="0"/>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9" fillId="30" borderId="113" applyNumberFormat="0" applyProtection="0">
      <alignment horizontal="left" vertical="top" indent="1"/>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37" fontId="64" fillId="0" borderId="116" applyNumberFormat="0"/>
    <xf numFmtId="349" fontId="15" fillId="0" borderId="117" applyNumberFormat="0" applyFill="0" applyAlignment="0" applyProtection="0"/>
    <xf numFmtId="349" fontId="53" fillId="32" borderId="113" applyNumberFormat="0" applyProtection="0">
      <alignment horizontal="left" vertical="top" indent="1"/>
    </xf>
    <xf numFmtId="349" fontId="53" fillId="19" borderId="113" applyNumberFormat="0" applyProtection="0">
      <alignment horizontal="left" vertical="top" indent="1"/>
    </xf>
    <xf numFmtId="4" fontId="53" fillId="23" borderId="108" applyNumberFormat="0" applyProtection="0">
      <alignment horizontal="right" vertical="center"/>
    </xf>
    <xf numFmtId="349" fontId="53" fillId="83" borderId="108" applyNumberFormat="0" applyProtection="0">
      <alignment horizontal="left" vertical="center"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4" fontId="53" fillId="64" borderId="108" applyNumberFormat="0" applyProtection="0">
      <alignment horizontal="left" vertical="center" indent="1"/>
    </xf>
    <xf numFmtId="349" fontId="53" fillId="30" borderId="108" applyNumberFormat="0" applyProtection="0">
      <alignment horizontal="left" vertical="center" indent="1"/>
    </xf>
    <xf numFmtId="214" fontId="64" fillId="0" borderId="28" applyFill="0"/>
    <xf numFmtId="4" fontId="255" fillId="34" borderId="113" applyNumberFormat="0" applyProtection="0">
      <alignment vertical="center"/>
    </xf>
    <xf numFmtId="349" fontId="15" fillId="0" borderId="117" applyNumberFormat="0" applyFill="0" applyAlignment="0" applyProtection="0"/>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18" borderId="108" applyNumberFormat="0" applyProtection="0">
      <alignment vertical="center"/>
    </xf>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142" fillId="14" borderId="108" applyNumberFormat="0" applyAlignment="0" applyProtection="0"/>
    <xf numFmtId="349" fontId="9" fillId="30" borderId="113" applyNumberFormat="0" applyProtection="0">
      <alignment horizontal="left" vertical="center" indent="1"/>
    </xf>
    <xf numFmtId="349" fontId="251" fillId="127" borderId="108" applyNumberFormat="0" applyAlignment="0" applyProtection="0"/>
    <xf numFmtId="349" fontId="53" fillId="30" borderId="108" applyNumberFormat="0" applyProtection="0">
      <alignment horizontal="left" vertical="center" indent="1"/>
    </xf>
    <xf numFmtId="349" fontId="53" fillId="32" borderId="113" applyNumberFormat="0" applyProtection="0">
      <alignment horizontal="left" vertical="top" indent="1"/>
    </xf>
    <xf numFmtId="37" fontId="64" fillId="0" borderId="116" applyNumberFormat="0"/>
    <xf numFmtId="349" fontId="53" fillId="13" borderId="108" applyNumberFormat="0" applyFont="0" applyAlignment="0" applyProtection="0"/>
    <xf numFmtId="4" fontId="256" fillId="35" borderId="114" applyNumberFormat="0" applyProtection="0">
      <alignment horizontal="left" vertical="center" indent="1"/>
    </xf>
    <xf numFmtId="169" fontId="12" fillId="0" borderId="0" applyFont="0" applyFill="0" applyBorder="0" applyAlignment="0" applyProtection="0"/>
    <xf numFmtId="349" fontId="53" fillId="13" borderId="108" applyNumberFormat="0" applyFont="0" applyAlignment="0" applyProtection="0"/>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4" fontId="255" fillId="34" borderId="113" applyNumberFormat="0" applyProtection="0">
      <alignment vertical="center"/>
    </xf>
    <xf numFmtId="4" fontId="257" fillId="33" borderId="108" applyNumberFormat="0" applyProtection="0">
      <alignment horizontal="right" vertical="center"/>
    </xf>
    <xf numFmtId="349" fontId="15" fillId="0" borderId="117" applyNumberFormat="0" applyFill="0" applyAlignment="0" applyProtection="0"/>
    <xf numFmtId="349" fontId="9" fillId="30" borderId="113" applyNumberFormat="0" applyProtection="0">
      <alignment horizontal="left" vertical="top" indent="1"/>
    </xf>
    <xf numFmtId="4" fontId="53" fillId="26" borderId="108" applyNumberFormat="0" applyProtection="0">
      <alignment horizontal="right" vertical="center"/>
    </xf>
    <xf numFmtId="4" fontId="257" fillId="33" borderId="108" applyNumberFormat="0" applyProtection="0">
      <alignment horizontal="right" vertical="center"/>
    </xf>
    <xf numFmtId="349" fontId="15" fillId="0" borderId="117" applyNumberFormat="0" applyFill="0" applyAlignment="0" applyProtection="0"/>
    <xf numFmtId="349" fontId="9" fillId="30" borderId="113" applyNumberFormat="0" applyProtection="0">
      <alignment horizontal="left" vertical="center" indent="1"/>
    </xf>
    <xf numFmtId="349" fontId="53" fillId="19" borderId="113" applyNumberFormat="0" applyProtection="0">
      <alignment horizontal="left" vertical="top" indent="1"/>
    </xf>
    <xf numFmtId="349" fontId="251" fillId="127" borderId="108" applyNumberFormat="0" applyAlignment="0" applyProtection="0"/>
    <xf numFmtId="4" fontId="53" fillId="24" borderId="108" applyNumberFormat="0" applyProtection="0">
      <alignment horizontal="right" vertical="center"/>
    </xf>
    <xf numFmtId="214" fontId="64" fillId="0" borderId="28" applyFill="0"/>
    <xf numFmtId="349" fontId="53" fillId="13" borderId="108" applyNumberFormat="0" applyFont="0" applyAlignment="0" applyProtection="0"/>
    <xf numFmtId="349" fontId="255" fillId="34" borderId="113" applyNumberFormat="0" applyProtection="0">
      <alignment horizontal="left" vertical="top" indent="1"/>
    </xf>
    <xf numFmtId="4" fontId="255" fillId="34" borderId="113" applyNumberFormat="0" applyProtection="0">
      <alignment vertical="center"/>
    </xf>
    <xf numFmtId="349" fontId="53" fillId="13" borderId="108" applyNumberFormat="0" applyFont="0" applyAlignment="0" applyProtection="0"/>
    <xf numFmtId="349" fontId="53" fillId="13" borderId="108" applyNumberFormat="0" applyFont="0" applyAlignment="0" applyProtection="0"/>
    <xf numFmtId="349" fontId="254" fillId="18" borderId="113" applyNumberFormat="0" applyProtection="0">
      <alignment horizontal="left" vertical="top" indent="1"/>
    </xf>
    <xf numFmtId="4" fontId="53" fillId="25" borderId="108" applyNumberFormat="0" applyProtection="0">
      <alignment horizontal="right" vertical="center"/>
    </xf>
    <xf numFmtId="4" fontId="53" fillId="19" borderId="108" applyNumberFormat="0" applyProtection="0">
      <alignment horizontal="right" vertical="center"/>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9" fillId="32" borderId="113" applyNumberFormat="0" applyProtection="0">
      <alignment horizontal="left" vertical="center" indent="1"/>
    </xf>
    <xf numFmtId="349" fontId="142" fillId="14" borderId="108" applyNumberFormat="0" applyAlignment="0" applyProtection="0"/>
    <xf numFmtId="37" fontId="64" fillId="0" borderId="116" applyNumberFormat="0"/>
    <xf numFmtId="349" fontId="53" fillId="30" borderId="108" applyNumberFormat="0" applyProtection="0">
      <alignment horizontal="left" vertical="center"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9" fillId="19" borderId="113" applyNumberFormat="0" applyProtection="0">
      <alignment horizontal="left" vertical="top" indent="1"/>
    </xf>
    <xf numFmtId="349" fontId="53" fillId="31" borderId="113" applyNumberFormat="0" applyProtection="0">
      <alignment horizontal="left" vertical="top" indent="1"/>
    </xf>
    <xf numFmtId="4" fontId="53" fillId="29" borderId="114" applyNumberFormat="0" applyProtection="0">
      <alignment horizontal="left" vertical="center" indent="1"/>
    </xf>
    <xf numFmtId="349" fontId="142" fillId="14" borderId="108" applyNumberFormat="0" applyAlignment="0" applyProtection="0"/>
    <xf numFmtId="4" fontId="253" fillId="50" borderId="108" applyNumberFormat="0" applyProtection="0">
      <alignment horizontal="right" vertical="center"/>
    </xf>
    <xf numFmtId="4" fontId="255" fillId="34" borderId="113" applyNumberFormat="0" applyProtection="0">
      <alignment vertical="center"/>
    </xf>
    <xf numFmtId="349" fontId="53" fillId="30" borderId="113" applyNumberFormat="0" applyProtection="0">
      <alignment horizontal="left" vertical="top" indent="1"/>
    </xf>
    <xf numFmtId="4" fontId="255" fillId="61" borderId="113" applyNumberFormat="0" applyProtection="0">
      <alignment horizontal="left" vertical="center" indent="1"/>
    </xf>
    <xf numFmtId="349" fontId="9" fillId="30" borderId="113" applyNumberFormat="0" applyProtection="0">
      <alignment horizontal="left" vertical="center" indent="1"/>
    </xf>
    <xf numFmtId="4" fontId="53" fillId="64" borderId="108" applyNumberFormat="0" applyProtection="0">
      <alignment horizontal="left" vertical="center" indent="1"/>
    </xf>
    <xf numFmtId="349" fontId="53" fillId="32" borderId="108" applyNumberFormat="0" applyProtection="0">
      <alignment horizontal="left" vertical="center"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4" fontId="53" fillId="27" borderId="108" applyNumberFormat="0" applyProtection="0">
      <alignment horizontal="right" vertical="center"/>
    </xf>
    <xf numFmtId="4" fontId="53" fillId="30" borderId="114" applyNumberFormat="0" applyProtection="0">
      <alignment horizontal="left" vertical="center" indent="1"/>
    </xf>
    <xf numFmtId="4" fontId="53" fillId="64" borderId="108" applyNumberFormat="0" applyProtection="0">
      <alignment horizontal="left" vertical="center" indent="1"/>
    </xf>
    <xf numFmtId="4" fontId="53" fillId="27" borderId="108" applyNumberFormat="0" applyProtection="0">
      <alignment horizontal="right" vertical="center"/>
    </xf>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42" fillId="14" borderId="108" applyNumberFormat="0" applyAlignment="0" applyProtection="0"/>
    <xf numFmtId="349" fontId="53" fillId="13" borderId="108" applyNumberFormat="0" applyFont="0" applyAlignment="0" applyProtection="0"/>
    <xf numFmtId="4" fontId="253" fillId="45" borderId="108" applyNumberFormat="0" applyProtection="0">
      <alignment vertical="center"/>
    </xf>
    <xf numFmtId="4" fontId="53" fillId="25" borderId="108" applyNumberFormat="0" applyProtection="0">
      <alignment horizontal="right" vertical="center"/>
    </xf>
    <xf numFmtId="4" fontId="53" fillId="19" borderId="114" applyNumberFormat="0" applyProtection="0">
      <alignment horizontal="left" vertical="center"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169" fontId="12" fillId="0" borderId="0" applyFont="0" applyFill="0" applyBorder="0" applyAlignment="0" applyProtection="0"/>
    <xf numFmtId="4" fontId="53" fillId="23" borderId="108" applyNumberFormat="0" applyProtection="0">
      <alignment horizontal="right" vertical="center"/>
    </xf>
    <xf numFmtId="169" fontId="12" fillId="0" borderId="0" applyFont="0" applyFill="0" applyBorder="0" applyAlignment="0" applyProtection="0"/>
    <xf numFmtId="349" fontId="53" fillId="13" borderId="108" applyNumberFormat="0" applyFont="0" applyAlignment="0" applyProtection="0"/>
    <xf numFmtId="4" fontId="53" fillId="18" borderId="108" applyNumberFormat="0" applyProtection="0">
      <alignment vertical="center"/>
    </xf>
    <xf numFmtId="4" fontId="253" fillId="45" borderId="108" applyNumberFormat="0" applyProtection="0">
      <alignment vertical="center"/>
    </xf>
    <xf numFmtId="4" fontId="53" fillId="25" borderId="108" applyNumberFormat="0" applyProtection="0">
      <alignment horizontal="right" vertical="center"/>
    </xf>
    <xf numFmtId="4" fontId="53" fillId="29" borderId="114" applyNumberFormat="0" applyProtection="0">
      <alignment horizontal="left" vertical="center" indent="1"/>
    </xf>
    <xf numFmtId="4" fontId="53" fillId="130" borderId="108" applyNumberFormat="0" applyProtection="0">
      <alignment horizontal="right" vertical="center"/>
    </xf>
    <xf numFmtId="4" fontId="53" fillId="19" borderId="108" applyNumberFormat="0" applyProtection="0">
      <alignment horizontal="right" vertical="center"/>
    </xf>
    <xf numFmtId="349" fontId="53" fillId="61" borderId="108" applyNumberFormat="0" applyProtection="0">
      <alignment horizontal="left" vertical="center" indent="1"/>
    </xf>
    <xf numFmtId="214" fontId="64" fillId="0" borderId="28" applyFill="0"/>
    <xf numFmtId="349" fontId="53" fillId="32" borderId="113" applyNumberFormat="0" applyProtection="0">
      <alignment horizontal="left" vertical="top" indent="1"/>
    </xf>
    <xf numFmtId="4" fontId="53" fillId="19" borderId="108" applyNumberFormat="0" applyProtection="0">
      <alignment horizontal="right" vertical="center"/>
    </xf>
    <xf numFmtId="349" fontId="184" fillId="127" borderId="112" applyNumberFormat="0" applyAlignment="0" applyProtection="0"/>
    <xf numFmtId="349" fontId="53" fillId="13" borderId="108" applyNumberFormat="0" applyFont="0" applyAlignment="0" applyProtection="0"/>
    <xf numFmtId="349" fontId="184" fillId="127" borderId="112" applyNumberFormat="0" applyAlignment="0" applyProtection="0"/>
    <xf numFmtId="349" fontId="53" fillId="61" borderId="108" applyNumberFormat="0" applyProtection="0">
      <alignment horizontal="left" vertical="center"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4" fontId="53" fillId="27" borderId="108" applyNumberFormat="0" applyProtection="0">
      <alignment horizontal="right" vertical="center"/>
    </xf>
    <xf numFmtId="349" fontId="254" fillId="18" borderId="113" applyNumberFormat="0" applyProtection="0">
      <alignment horizontal="left" vertical="top" indent="1"/>
    </xf>
    <xf numFmtId="349" fontId="53" fillId="13" borderId="108" applyNumberFormat="0" applyFont="0" applyAlignment="0" applyProtection="0"/>
    <xf numFmtId="349" fontId="142" fillId="14" borderId="108"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4" fontId="53" fillId="130" borderId="108" applyNumberFormat="0" applyProtection="0">
      <alignment horizontal="right" vertical="center"/>
    </xf>
    <xf numFmtId="4" fontId="53" fillId="45" borderId="108" applyNumberFormat="0" applyProtection="0">
      <alignment horizontal="left" vertical="center" indent="1"/>
    </xf>
    <xf numFmtId="4" fontId="9" fillId="31" borderId="114" applyNumberFormat="0" applyProtection="0">
      <alignment horizontal="left" vertical="center" indent="1"/>
    </xf>
    <xf numFmtId="4" fontId="53" fillId="25" borderId="108" applyNumberFormat="0" applyProtection="0">
      <alignment horizontal="right" vertical="center"/>
    </xf>
    <xf numFmtId="4" fontId="53" fillId="23" borderId="108" applyNumberFormat="0" applyProtection="0">
      <alignment horizontal="right" vertical="center"/>
    </xf>
    <xf numFmtId="349" fontId="53" fillId="31" borderId="113" applyNumberFormat="0" applyProtection="0">
      <alignment horizontal="left" vertical="top" indent="1"/>
    </xf>
    <xf numFmtId="349" fontId="251" fillId="127" borderId="108" applyNumberFormat="0" applyAlignment="0" applyProtection="0"/>
    <xf numFmtId="349" fontId="53" fillId="19" borderId="113" applyNumberFormat="0" applyProtection="0">
      <alignment horizontal="left" vertical="top"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4" fontId="53" fillId="0" borderId="108" applyNumberFormat="0" applyProtection="0">
      <alignment horizontal="right" vertical="center"/>
    </xf>
    <xf numFmtId="349" fontId="15" fillId="0" borderId="117" applyNumberFormat="0" applyFill="0" applyAlignment="0" applyProtection="0"/>
    <xf numFmtId="349" fontId="93" fillId="31" borderId="115" applyBorder="0"/>
    <xf numFmtId="349" fontId="53" fillId="30" borderId="113" applyNumberFormat="0" applyProtection="0">
      <alignment horizontal="left" vertical="top" indent="1"/>
    </xf>
    <xf numFmtId="349" fontId="53" fillId="30" borderId="113" applyNumberFormat="0" applyProtection="0">
      <alignment horizontal="left" vertical="top" indent="1"/>
    </xf>
    <xf numFmtId="214" fontId="64" fillId="0" borderId="28" applyFill="0"/>
    <xf numFmtId="349" fontId="53" fillId="30" borderId="113" applyNumberFormat="0" applyProtection="0">
      <alignment horizontal="left" vertical="top" indent="1"/>
    </xf>
    <xf numFmtId="4" fontId="53" fillId="27" borderId="108" applyNumberFormat="0" applyProtection="0">
      <alignment horizontal="right" vertical="center"/>
    </xf>
    <xf numFmtId="4" fontId="53" fillId="19" borderId="114" applyNumberFormat="0" applyProtection="0">
      <alignment horizontal="left" vertical="center" indent="1"/>
    </xf>
    <xf numFmtId="349" fontId="53" fillId="31" borderId="113" applyNumberFormat="0" applyProtection="0">
      <alignment horizontal="left" vertical="top"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4" fontId="256" fillId="35" borderId="114" applyNumberFormat="0" applyProtection="0">
      <alignment horizontal="left" vertical="center" indent="1"/>
    </xf>
    <xf numFmtId="349" fontId="142" fillId="14" borderId="108" applyNumberFormat="0" applyAlignment="0" applyProtection="0"/>
    <xf numFmtId="349" fontId="9" fillId="32" borderId="113" applyNumberFormat="0" applyProtection="0">
      <alignment horizontal="left" vertical="top" indent="1"/>
    </xf>
    <xf numFmtId="349" fontId="142" fillId="14" borderId="108" applyNumberFormat="0" applyAlignment="0" applyProtection="0"/>
    <xf numFmtId="349" fontId="9" fillId="19" borderId="113" applyNumberFormat="0" applyProtection="0">
      <alignment horizontal="left" vertical="center" indent="1"/>
    </xf>
    <xf numFmtId="349" fontId="53" fillId="31" borderId="113" applyNumberFormat="0" applyProtection="0">
      <alignment horizontal="left" vertical="top" indent="1"/>
    </xf>
    <xf numFmtId="4" fontId="53" fillId="19" borderId="114" applyNumberFormat="0" applyProtection="0">
      <alignment horizontal="left" vertical="center" indent="1"/>
    </xf>
    <xf numFmtId="4" fontId="53" fillId="27" borderId="108" applyNumberFormat="0" applyProtection="0">
      <alignment horizontal="right" vertical="center"/>
    </xf>
    <xf numFmtId="4" fontId="53" fillId="20" borderId="108" applyNumberFormat="0" applyProtection="0">
      <alignment horizontal="right" vertical="center"/>
    </xf>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32" borderId="108" applyNumberFormat="0" applyProtection="0">
      <alignment horizontal="left" vertical="center" indent="1"/>
    </xf>
    <xf numFmtId="4" fontId="53" fillId="130" borderId="108" applyNumberFormat="0" applyProtection="0">
      <alignment horizontal="right" vertical="center"/>
    </xf>
    <xf numFmtId="349" fontId="53" fillId="30" borderId="113" applyNumberFormat="0" applyProtection="0">
      <alignment horizontal="left" vertical="top" indent="1"/>
    </xf>
    <xf numFmtId="4" fontId="53" fillId="30" borderId="114" applyNumberFormat="0" applyProtection="0">
      <alignment horizontal="left" vertical="center"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255" fillId="19" borderId="113" applyNumberFormat="0" applyProtection="0">
      <alignment horizontal="left" vertical="top" indent="1"/>
    </xf>
    <xf numFmtId="4" fontId="53" fillId="0" borderId="108" applyNumberFormat="0" applyProtection="0">
      <alignment horizontal="right" vertical="center"/>
    </xf>
    <xf numFmtId="349" fontId="9" fillId="32" borderId="113" applyNumberFormat="0" applyProtection="0">
      <alignment horizontal="left" vertical="top" indent="1"/>
    </xf>
    <xf numFmtId="37" fontId="64" fillId="0" borderId="116" applyNumberFormat="0"/>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4" fontId="53" fillId="19" borderId="114" applyNumberFormat="0" applyProtection="0">
      <alignment horizontal="left" vertical="center" indent="1"/>
    </xf>
    <xf numFmtId="4" fontId="53" fillId="22" borderId="114" applyNumberFormat="0" applyProtection="0">
      <alignment horizontal="right" vertical="center"/>
    </xf>
    <xf numFmtId="349" fontId="251" fillId="127" borderId="108" applyNumberFormat="0" applyAlignment="0" applyProtection="0"/>
    <xf numFmtId="349" fontId="53" fillId="32" borderId="113" applyNumberFormat="0" applyProtection="0">
      <alignment horizontal="left" vertical="top" indent="1"/>
    </xf>
    <xf numFmtId="349" fontId="53" fillId="13" borderId="108" applyNumberFormat="0" applyFont="0" applyAlignment="0" applyProtection="0"/>
    <xf numFmtId="349" fontId="53" fillId="13" borderId="108" applyNumberFormat="0" applyFont="0" applyAlignment="0" applyProtection="0"/>
    <xf numFmtId="349" fontId="53" fillId="19" borderId="113" applyNumberFormat="0" applyProtection="0">
      <alignment horizontal="left" vertical="top" indent="1"/>
    </xf>
    <xf numFmtId="349" fontId="9" fillId="31" borderId="113" applyNumberFormat="0" applyProtection="0">
      <alignment horizontal="left" vertical="center" indent="1"/>
    </xf>
    <xf numFmtId="349" fontId="9" fillId="19" borderId="113" applyNumberFormat="0" applyProtection="0">
      <alignment horizontal="left" vertical="top" indent="1"/>
    </xf>
    <xf numFmtId="349" fontId="53" fillId="31" borderId="113" applyNumberFormat="0" applyProtection="0">
      <alignment horizontal="left" vertical="top" indent="1"/>
    </xf>
    <xf numFmtId="4" fontId="53" fillId="0" borderId="108" applyNumberFormat="0" applyProtection="0">
      <alignment horizontal="right" vertical="center"/>
    </xf>
    <xf numFmtId="349" fontId="53" fillId="13" borderId="108" applyNumberFormat="0" applyFont="0" applyAlignment="0" applyProtection="0"/>
    <xf numFmtId="4" fontId="53" fillId="23" borderId="108" applyNumberFormat="0" applyProtection="0">
      <alignment horizontal="right" vertical="center"/>
    </xf>
    <xf numFmtId="4" fontId="53" fillId="23" borderId="108" applyNumberFormat="0" applyProtection="0">
      <alignment horizontal="right" vertical="center"/>
    </xf>
    <xf numFmtId="4" fontId="53" fillId="28" borderId="108" applyNumberFormat="0" applyProtection="0">
      <alignment horizontal="right" vertical="center"/>
    </xf>
    <xf numFmtId="349" fontId="53" fillId="61" borderId="108" applyNumberFormat="0" applyProtection="0">
      <alignment horizontal="left" vertical="center"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4" fontId="257" fillId="33" borderId="108" applyNumberFormat="0" applyProtection="0">
      <alignment horizontal="right" vertical="center"/>
    </xf>
    <xf numFmtId="4" fontId="53" fillId="64" borderId="108" applyNumberFormat="0" applyProtection="0">
      <alignment horizontal="left" vertical="center" indent="1"/>
    </xf>
    <xf numFmtId="349" fontId="53" fillId="30" borderId="113" applyNumberFormat="0" applyProtection="0">
      <alignment horizontal="left" vertical="top" indent="1"/>
    </xf>
    <xf numFmtId="4" fontId="256" fillId="35" borderId="114" applyNumberFormat="0" applyProtection="0">
      <alignment horizontal="left" vertical="center"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4" fontId="53" fillId="19" borderId="108" applyNumberFormat="0" applyProtection="0">
      <alignment horizontal="right" vertical="center"/>
    </xf>
    <xf numFmtId="4" fontId="53" fillId="20" borderId="108" applyNumberFormat="0" applyProtection="0">
      <alignment horizontal="right" vertical="center"/>
    </xf>
    <xf numFmtId="349" fontId="53" fillId="30" borderId="113" applyNumberFormat="0" applyProtection="0">
      <alignment horizontal="left" vertical="top" indent="1"/>
    </xf>
    <xf numFmtId="349" fontId="53" fillId="31" borderId="113" applyNumberFormat="0" applyProtection="0">
      <alignment horizontal="left" vertical="top" indent="1"/>
    </xf>
    <xf numFmtId="349" fontId="53" fillId="13" borderId="108" applyNumberFormat="0" applyFont="0" applyAlignment="0" applyProtection="0"/>
    <xf numFmtId="349" fontId="53" fillId="13" borderId="108" applyNumberFormat="0" applyFont="0" applyAlignment="0" applyProtection="0"/>
    <xf numFmtId="4" fontId="53" fillId="64" borderId="108" applyNumberFormat="0" applyProtection="0">
      <alignment horizontal="left" vertical="center" indent="1"/>
    </xf>
    <xf numFmtId="349" fontId="53" fillId="30" borderId="113" applyNumberFormat="0" applyProtection="0">
      <alignment horizontal="left" vertical="top" indent="1"/>
    </xf>
    <xf numFmtId="349" fontId="53" fillId="19" borderId="113" applyNumberFormat="0" applyProtection="0">
      <alignment horizontal="left" vertical="top" indent="1"/>
    </xf>
    <xf numFmtId="4" fontId="9" fillId="31" borderId="114" applyNumberFormat="0" applyProtection="0">
      <alignment horizontal="left" vertical="center" indent="1"/>
    </xf>
    <xf numFmtId="349" fontId="184" fillId="127" borderId="112" applyNumberFormat="0" applyAlignment="0" applyProtection="0"/>
    <xf numFmtId="169" fontId="12" fillId="0" borderId="0" applyFont="0" applyFill="0" applyBorder="0" applyAlignment="0" applyProtection="0"/>
    <xf numFmtId="349" fontId="254" fillId="18" borderId="113" applyNumberFormat="0" applyProtection="0">
      <alignment horizontal="left" vertical="top" indent="1"/>
    </xf>
    <xf numFmtId="4" fontId="53" fillId="27" borderId="108" applyNumberFormat="0" applyProtection="0">
      <alignment horizontal="right" vertical="center"/>
    </xf>
    <xf numFmtId="4" fontId="53" fillId="19" borderId="114" applyNumberFormat="0" applyProtection="0">
      <alignment horizontal="left" vertical="center" indent="1"/>
    </xf>
    <xf numFmtId="349" fontId="9" fillId="31" borderId="113" applyNumberFormat="0" applyProtection="0">
      <alignment horizontal="left" vertical="top" indent="1"/>
    </xf>
    <xf numFmtId="349" fontId="53" fillId="32" borderId="113" applyNumberFormat="0" applyProtection="0">
      <alignment horizontal="left" vertical="top" indent="1"/>
    </xf>
    <xf numFmtId="349" fontId="53" fillId="32" borderId="108" applyNumberFormat="0" applyProtection="0">
      <alignment horizontal="left" vertical="center" indent="1"/>
    </xf>
    <xf numFmtId="349" fontId="9" fillId="19" borderId="113" applyNumberFormat="0" applyProtection="0">
      <alignment horizontal="left" vertical="center" indent="1"/>
    </xf>
    <xf numFmtId="349" fontId="53" fillId="31" borderId="113" applyNumberFormat="0" applyProtection="0">
      <alignment horizontal="left" vertical="top" indent="1"/>
    </xf>
    <xf numFmtId="4" fontId="9" fillId="31" borderId="114" applyNumberFormat="0" applyProtection="0">
      <alignment horizontal="left" vertical="center" indent="1"/>
    </xf>
    <xf numFmtId="4" fontId="53" fillId="130" borderId="108" applyNumberFormat="0" applyProtection="0">
      <alignment horizontal="right" vertical="center"/>
    </xf>
    <xf numFmtId="349" fontId="53" fillId="13" borderId="108" applyNumberFormat="0" applyFont="0" applyAlignment="0" applyProtection="0"/>
    <xf numFmtId="349" fontId="251" fillId="127" borderId="108" applyNumberFormat="0" applyAlignment="0" applyProtection="0"/>
    <xf numFmtId="349" fontId="142" fillId="14" borderId="108"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4" fontId="253" fillId="45" borderId="108" applyNumberFormat="0" applyProtection="0">
      <alignment vertical="center"/>
    </xf>
    <xf numFmtId="4" fontId="53" fillId="19" borderId="108" applyNumberFormat="0" applyProtection="0">
      <alignment horizontal="right" vertical="center"/>
    </xf>
    <xf numFmtId="4" fontId="53" fillId="130" borderId="108" applyNumberFormat="0" applyProtection="0">
      <alignment horizontal="right" vertical="center"/>
    </xf>
    <xf numFmtId="349" fontId="53" fillId="31" borderId="113" applyNumberFormat="0" applyProtection="0">
      <alignment horizontal="left" vertical="top" indent="1"/>
    </xf>
    <xf numFmtId="4" fontId="53" fillId="29" borderId="114" applyNumberFormat="0" applyProtection="0">
      <alignment horizontal="left" vertical="center" indent="1"/>
    </xf>
    <xf numFmtId="4" fontId="53" fillId="26" borderId="108" applyNumberFormat="0" applyProtection="0">
      <alignment horizontal="right" vertical="center"/>
    </xf>
    <xf numFmtId="349" fontId="53" fillId="31"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53" fillId="30" borderId="113" applyNumberFormat="0" applyProtection="0">
      <alignment horizontal="left" vertical="top" indent="1"/>
    </xf>
    <xf numFmtId="4" fontId="255" fillId="34" borderId="113" applyNumberFormat="0" applyProtection="0">
      <alignment vertical="center"/>
    </xf>
    <xf numFmtId="4" fontId="256" fillId="35" borderId="114" applyNumberFormat="0" applyProtection="0">
      <alignment horizontal="left" vertical="center" indent="1"/>
    </xf>
    <xf numFmtId="349" fontId="53" fillId="19" borderId="113" applyNumberFormat="0" applyProtection="0">
      <alignment horizontal="left" vertical="top" indent="1"/>
    </xf>
    <xf numFmtId="4" fontId="53" fillId="64" borderId="108" applyNumberFormat="0" applyProtection="0">
      <alignment horizontal="left" vertical="center" indent="1"/>
    </xf>
    <xf numFmtId="349" fontId="53" fillId="30" borderId="113" applyNumberFormat="0" applyProtection="0">
      <alignment horizontal="left" vertical="top" indent="1"/>
    </xf>
    <xf numFmtId="4" fontId="53" fillId="0" borderId="108" applyNumberFormat="0" applyProtection="0">
      <alignment horizontal="right" vertical="center"/>
    </xf>
    <xf numFmtId="349" fontId="251" fillId="127" borderId="108" applyNumberFormat="0" applyAlignment="0" applyProtection="0"/>
    <xf numFmtId="349" fontId="53" fillId="13" borderId="108" applyNumberFormat="0" applyFont="0" applyAlignment="0" applyProtection="0"/>
    <xf numFmtId="4" fontId="9" fillId="31" borderId="114" applyNumberFormat="0" applyProtection="0">
      <alignment horizontal="left" vertical="center"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15" fillId="0" borderId="117" applyNumberFormat="0" applyFill="0" applyAlignment="0" applyProtection="0"/>
    <xf numFmtId="349" fontId="53" fillId="13" borderId="108" applyNumberFormat="0" applyFont="0" applyAlignment="0" applyProtection="0"/>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4" fontId="9" fillId="31" borderId="114" applyNumberFormat="0" applyProtection="0">
      <alignment horizontal="left" vertical="center" indent="1"/>
    </xf>
    <xf numFmtId="4" fontId="53" fillId="23" borderId="108" applyNumberFormat="0" applyProtection="0">
      <alignment horizontal="right" vertical="center"/>
    </xf>
    <xf numFmtId="4" fontId="253" fillId="45" borderId="108" applyNumberFormat="0" applyProtection="0">
      <alignment vertical="center"/>
    </xf>
    <xf numFmtId="349" fontId="53" fillId="13" borderId="108" applyNumberFormat="0" applyFont="0" applyAlignment="0" applyProtection="0"/>
    <xf numFmtId="349" fontId="251" fillId="127" borderId="108" applyNumberFormat="0" applyAlignment="0" applyProtection="0"/>
    <xf numFmtId="4" fontId="53" fillId="130" borderId="108" applyNumberFormat="0" applyProtection="0">
      <alignment horizontal="right" vertical="center"/>
    </xf>
    <xf numFmtId="349" fontId="53" fillId="13" borderId="108" applyNumberFormat="0" applyFont="0" applyAlignment="0" applyProtection="0"/>
    <xf numFmtId="349" fontId="255" fillId="34" borderId="113" applyNumberFormat="0" applyProtection="0">
      <alignment horizontal="left" vertical="top" indent="1"/>
    </xf>
    <xf numFmtId="4" fontId="53" fillId="25" borderId="108" applyNumberFormat="0" applyProtection="0">
      <alignment horizontal="right" vertical="center"/>
    </xf>
    <xf numFmtId="4" fontId="9" fillId="31" borderId="114"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9" fillId="30" borderId="113" applyNumberFormat="0" applyProtection="0">
      <alignment horizontal="left" vertical="center"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15" fillId="0" borderId="117" applyNumberFormat="0" applyFill="0" applyAlignment="0" applyProtection="0"/>
    <xf numFmtId="349" fontId="53" fillId="32" borderId="113" applyNumberFormat="0" applyProtection="0">
      <alignment horizontal="left" vertical="top" indent="1"/>
    </xf>
    <xf numFmtId="349" fontId="251" fillId="127" borderId="108" applyNumberFormat="0" applyAlignment="0" applyProtection="0"/>
    <xf numFmtId="4" fontId="53" fillId="0" borderId="108" applyNumberFormat="0" applyProtection="0">
      <alignment horizontal="right" vertical="center"/>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83" borderId="108" applyNumberFormat="0" applyProtection="0">
      <alignment horizontal="left" vertical="center" indent="1"/>
    </xf>
    <xf numFmtId="349" fontId="9" fillId="31" borderId="113" applyNumberFormat="0" applyProtection="0">
      <alignment horizontal="left" vertical="top" indent="1"/>
    </xf>
    <xf numFmtId="4" fontId="53" fillId="28" borderId="108" applyNumberFormat="0" applyProtection="0">
      <alignment horizontal="right" vertical="center"/>
    </xf>
    <xf numFmtId="349" fontId="254" fillId="18" borderId="113" applyNumberFormat="0" applyProtection="0">
      <alignment horizontal="left" vertical="top" indent="1"/>
    </xf>
    <xf numFmtId="349" fontId="93" fillId="31" borderId="115" applyBorder="0"/>
    <xf numFmtId="349" fontId="53" fillId="32" borderId="108" applyNumberFormat="0" applyProtection="0">
      <alignment horizontal="left" vertical="center" indent="1"/>
    </xf>
    <xf numFmtId="349" fontId="142" fillId="14" borderId="108" applyNumberFormat="0" applyAlignment="0" applyProtection="0"/>
    <xf numFmtId="4" fontId="255" fillId="61" borderId="113" applyNumberFormat="0" applyProtection="0">
      <alignment horizontal="left" vertical="center" indent="1"/>
    </xf>
    <xf numFmtId="349" fontId="53" fillId="13" borderId="108" applyNumberFormat="0" applyFont="0" applyAlignment="0" applyProtection="0"/>
    <xf numFmtId="349" fontId="251" fillId="127" borderId="108" applyNumberFormat="0" applyAlignment="0" applyProtection="0"/>
    <xf numFmtId="4" fontId="53" fillId="45" borderId="108" applyNumberFormat="0" applyProtection="0">
      <alignment horizontal="left" vertical="center" indent="1"/>
    </xf>
    <xf numFmtId="4" fontId="53" fillId="24" borderId="108" applyNumberFormat="0" applyProtection="0">
      <alignment horizontal="right" vertical="center"/>
    </xf>
    <xf numFmtId="4" fontId="9" fillId="31" borderId="114" applyNumberFormat="0" applyProtection="0">
      <alignment horizontal="left" vertical="center"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15" fillId="0" borderId="117" applyNumberFormat="0" applyFill="0" applyAlignment="0" applyProtection="0"/>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4" fontId="9" fillId="31" borderId="114" applyNumberFormat="0" applyProtection="0">
      <alignment horizontal="left" vertical="center" indent="1"/>
    </xf>
    <xf numFmtId="4" fontId="53" fillId="64" borderId="108" applyNumberFormat="0" applyProtection="0">
      <alignment horizontal="left" vertical="center" indent="1"/>
    </xf>
    <xf numFmtId="349" fontId="255" fillId="34" borderId="113" applyNumberFormat="0" applyProtection="0">
      <alignment horizontal="left" vertical="top" indent="1"/>
    </xf>
    <xf numFmtId="349" fontId="53" fillId="30" borderId="113" applyNumberFormat="0" applyProtection="0">
      <alignment horizontal="left" vertical="top" indent="1"/>
    </xf>
    <xf numFmtId="349" fontId="255" fillId="34" borderId="113" applyNumberFormat="0" applyProtection="0">
      <alignment horizontal="left" vertical="top" indent="1"/>
    </xf>
    <xf numFmtId="349" fontId="53" fillId="32" borderId="113" applyNumberFormat="0" applyProtection="0">
      <alignment horizontal="left" vertical="top" indent="1"/>
    </xf>
    <xf numFmtId="349" fontId="255" fillId="19" borderId="113" applyNumberFormat="0" applyProtection="0">
      <alignment horizontal="left" vertical="top" indent="1"/>
    </xf>
    <xf numFmtId="349" fontId="93" fillId="31" borderId="115" applyBorder="0"/>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214" fontId="64" fillId="0" borderId="28" applyFill="0"/>
    <xf numFmtId="4" fontId="53" fillId="28" borderId="108" applyNumberFormat="0" applyProtection="0">
      <alignment horizontal="right" vertical="center"/>
    </xf>
    <xf numFmtId="4" fontId="53" fillId="19" borderId="114" applyNumberFormat="0" applyProtection="0">
      <alignment horizontal="left" vertical="center" indent="1"/>
    </xf>
    <xf numFmtId="4" fontId="53" fillId="20" borderId="108" applyNumberFormat="0" applyProtection="0">
      <alignment horizontal="right" vertical="center"/>
    </xf>
    <xf numFmtId="4" fontId="53" fillId="28" borderId="108" applyNumberFormat="0" applyProtection="0">
      <alignment horizontal="right" vertical="center"/>
    </xf>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142" fillId="14" borderId="108" applyNumberFormat="0" applyAlignment="0" applyProtection="0"/>
    <xf numFmtId="349" fontId="53" fillId="13" borderId="108" applyNumberFormat="0" applyFont="0" applyAlignment="0" applyProtection="0"/>
    <xf numFmtId="4" fontId="53" fillId="18" borderId="108" applyNumberFormat="0" applyProtection="0">
      <alignment vertical="center"/>
    </xf>
    <xf numFmtId="4" fontId="53" fillId="24" borderId="108" applyNumberFormat="0" applyProtection="0">
      <alignment horizontal="right" vertical="center"/>
    </xf>
    <xf numFmtId="4" fontId="53" fillId="30" borderId="114" applyNumberFormat="0" applyProtection="0">
      <alignment horizontal="left" vertical="center"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53" fillId="31" borderId="113" applyNumberFormat="0" applyProtection="0">
      <alignment horizontal="left" vertical="top" indent="1"/>
    </xf>
    <xf numFmtId="4" fontId="53" fillId="24" borderId="108" applyNumberFormat="0" applyProtection="0">
      <alignment horizontal="right" vertical="center"/>
    </xf>
    <xf numFmtId="4" fontId="53" fillId="18" borderId="108" applyNumberFormat="0" applyProtection="0">
      <alignment vertical="center"/>
    </xf>
    <xf numFmtId="4" fontId="53" fillId="64" borderId="108" applyNumberFormat="0" applyProtection="0">
      <alignment horizontal="left" vertical="center" indent="1"/>
    </xf>
    <xf numFmtId="4" fontId="53" fillId="45" borderId="108" applyNumberFormat="0" applyProtection="0">
      <alignment horizontal="left" vertical="center" indent="1"/>
    </xf>
    <xf numFmtId="4" fontId="53" fillId="26" borderId="108" applyNumberFormat="0" applyProtection="0">
      <alignment horizontal="right" vertical="center"/>
    </xf>
    <xf numFmtId="4" fontId="9" fillId="31" borderId="114" applyNumberFormat="0" applyProtection="0">
      <alignment horizontal="left" vertical="center" indent="1"/>
    </xf>
    <xf numFmtId="4" fontId="53" fillId="22" borderId="114" applyNumberFormat="0" applyProtection="0">
      <alignment horizontal="right" vertical="center"/>
    </xf>
    <xf numFmtId="4" fontId="53" fillId="30" borderId="114" applyNumberFormat="0" applyProtection="0">
      <alignment horizontal="left" vertical="center" indent="1"/>
    </xf>
    <xf numFmtId="349" fontId="9" fillId="31" borderId="113" applyNumberFormat="0" applyProtection="0">
      <alignment horizontal="left" vertical="center" indent="1"/>
    </xf>
    <xf numFmtId="349" fontId="53" fillId="32" borderId="113" applyNumberFormat="0" applyProtection="0">
      <alignment horizontal="left" vertical="top" indent="1"/>
    </xf>
    <xf numFmtId="4" fontId="9" fillId="31" borderId="114" applyNumberFormat="0" applyProtection="0">
      <alignment horizontal="left" vertical="center" indent="1"/>
    </xf>
    <xf numFmtId="349" fontId="184" fillId="127" borderId="112" applyNumberFormat="0" applyAlignment="0" applyProtection="0"/>
    <xf numFmtId="349" fontId="53" fillId="13" borderId="108" applyNumberFormat="0" applyFont="0" applyAlignment="0" applyProtection="0"/>
    <xf numFmtId="4" fontId="53" fillId="18" borderId="108" applyNumberFormat="0" applyProtection="0">
      <alignment vertical="center"/>
    </xf>
    <xf numFmtId="349" fontId="9" fillId="31" borderId="113" applyNumberFormat="0" applyProtection="0">
      <alignment horizontal="left" vertical="center" indent="1"/>
    </xf>
    <xf numFmtId="349" fontId="53" fillId="30" borderId="113" applyNumberFormat="0" applyProtection="0">
      <alignment horizontal="left" vertical="top" indent="1"/>
    </xf>
    <xf numFmtId="349" fontId="9"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53" fillId="61" borderId="108" applyNumberFormat="0" applyProtection="0">
      <alignment horizontal="left" vertical="center" indent="1"/>
    </xf>
    <xf numFmtId="4" fontId="53" fillId="26" borderId="108" applyNumberFormat="0" applyProtection="0">
      <alignment horizontal="right" vertical="center"/>
    </xf>
    <xf numFmtId="4" fontId="53" fillId="45" borderId="108" applyNumberFormat="0" applyProtection="0">
      <alignment horizontal="left" vertical="center" indent="1"/>
    </xf>
    <xf numFmtId="349" fontId="53" fillId="13" borderId="108" applyNumberFormat="0" applyFont="0" applyAlignment="0" applyProtection="0"/>
    <xf numFmtId="349" fontId="142" fillId="14" borderId="108"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4" fontId="53" fillId="25" borderId="108" applyNumberFormat="0" applyProtection="0">
      <alignment horizontal="right" vertical="center"/>
    </xf>
    <xf numFmtId="349" fontId="254" fillId="18" borderId="113" applyNumberFormat="0" applyProtection="0">
      <alignment horizontal="left" vertical="top" indent="1"/>
    </xf>
    <xf numFmtId="4" fontId="53" fillId="19" borderId="108" applyNumberFormat="0" applyProtection="0">
      <alignment horizontal="right" vertical="center"/>
    </xf>
    <xf numFmtId="4" fontId="53" fillId="26" borderId="108" applyNumberFormat="0" applyProtection="0">
      <alignment horizontal="right" vertical="center"/>
    </xf>
    <xf numFmtId="4" fontId="53" fillId="24" borderId="108" applyNumberFormat="0" applyProtection="0">
      <alignment horizontal="right" vertical="center"/>
    </xf>
    <xf numFmtId="349" fontId="53" fillId="31" borderId="113" applyNumberFormat="0" applyProtection="0">
      <alignment horizontal="left" vertical="top" indent="1"/>
    </xf>
    <xf numFmtId="349" fontId="251" fillId="127" borderId="108" applyNumberFormat="0" applyAlignment="0" applyProtection="0"/>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4" fontId="253" fillId="50" borderId="108" applyNumberFormat="0" applyProtection="0">
      <alignment horizontal="right" vertical="center"/>
    </xf>
    <xf numFmtId="349" fontId="15" fillId="0" borderId="117" applyNumberFormat="0" applyFill="0" applyAlignment="0" applyProtection="0"/>
    <xf numFmtId="4" fontId="255" fillId="34" borderId="113" applyNumberFormat="0" applyProtection="0">
      <alignment vertical="center"/>
    </xf>
    <xf numFmtId="349" fontId="53" fillId="30" borderId="113" applyNumberFormat="0" applyProtection="0">
      <alignment horizontal="left" vertical="top" indent="1"/>
    </xf>
    <xf numFmtId="349" fontId="93" fillId="31" borderId="115" applyBorder="0"/>
    <xf numFmtId="4" fontId="53" fillId="0" borderId="108" applyNumberFormat="0" applyProtection="0">
      <alignment horizontal="right" vertical="center"/>
    </xf>
    <xf numFmtId="349" fontId="53" fillId="30" borderId="113" applyNumberFormat="0" applyProtection="0">
      <alignment horizontal="left" vertical="top" indent="1"/>
    </xf>
    <xf numFmtId="4" fontId="53" fillId="28" borderId="108" applyNumberFormat="0" applyProtection="0">
      <alignment horizontal="right" vertical="center"/>
    </xf>
    <xf numFmtId="349" fontId="53" fillId="61" borderId="108" applyNumberFormat="0" applyProtection="0">
      <alignment horizontal="left" vertical="center"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4" fontId="257" fillId="33" borderId="108" applyNumberFormat="0" applyProtection="0">
      <alignment horizontal="right" vertical="center"/>
    </xf>
    <xf numFmtId="349" fontId="142" fillId="14" borderId="108" applyNumberFormat="0" applyAlignment="0" applyProtection="0"/>
    <xf numFmtId="349" fontId="53" fillId="32" borderId="113" applyNumberFormat="0" applyProtection="0">
      <alignment horizontal="left" vertical="top" indent="1"/>
    </xf>
    <xf numFmtId="349" fontId="142" fillId="14" borderId="108" applyNumberFormat="0" applyAlignment="0" applyProtection="0"/>
    <xf numFmtId="349" fontId="53" fillId="83" borderId="108" applyNumberFormat="0" applyProtection="0">
      <alignment horizontal="left" vertical="center" indent="1"/>
    </xf>
    <xf numFmtId="349" fontId="53" fillId="31" borderId="113" applyNumberFormat="0" applyProtection="0">
      <alignment horizontal="left" vertical="top" indent="1"/>
    </xf>
    <xf numFmtId="4" fontId="53" fillId="30" borderId="114" applyNumberFormat="0" applyProtection="0">
      <alignment horizontal="left" vertical="center" indent="1"/>
    </xf>
    <xf numFmtId="4" fontId="53" fillId="26" borderId="108" applyNumberFormat="0" applyProtection="0">
      <alignment horizontal="right" vertical="center"/>
    </xf>
    <xf numFmtId="4" fontId="53" fillId="64" borderId="108" applyNumberFormat="0" applyProtection="0">
      <alignment horizontal="left" vertical="center" indent="1"/>
    </xf>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93" fillId="31" borderId="115" applyBorder="0"/>
    <xf numFmtId="4" fontId="53" fillId="22" borderId="114" applyNumberFormat="0" applyProtection="0">
      <alignment horizontal="right" vertical="center"/>
    </xf>
    <xf numFmtId="349" fontId="53" fillId="30" borderId="113" applyNumberFormat="0" applyProtection="0">
      <alignment horizontal="left" vertical="top" indent="1"/>
    </xf>
    <xf numFmtId="4" fontId="53" fillId="19" borderId="114" applyNumberFormat="0" applyProtection="0">
      <alignment horizontal="left" vertical="center" indent="1"/>
    </xf>
    <xf numFmtId="349" fontId="53" fillId="31" borderId="113" applyNumberFormat="0" applyProtection="0">
      <alignment horizontal="left" vertical="top"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4" fontId="256" fillId="35" borderId="114" applyNumberFormat="0" applyProtection="0">
      <alignment horizontal="left" vertical="center" indent="1"/>
    </xf>
    <xf numFmtId="4" fontId="253" fillId="50" borderId="108" applyNumberFormat="0" applyProtection="0">
      <alignment horizontal="right" vertical="center"/>
    </xf>
    <xf numFmtId="349" fontId="53" fillId="13" borderId="108" applyNumberFormat="0" applyFont="0" applyAlignment="0" applyProtection="0"/>
    <xf numFmtId="4" fontId="257" fillId="33" borderId="108" applyNumberFormat="0" applyProtection="0">
      <alignment horizontal="right" vertical="center"/>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4" fontId="53" fillId="30" borderId="114" applyNumberFormat="0" applyProtection="0">
      <alignment horizontal="left" vertical="center" indent="1"/>
    </xf>
    <xf numFmtId="4" fontId="53" fillId="130" borderId="108" applyNumberFormat="0" applyProtection="0">
      <alignment horizontal="right" vertical="center"/>
    </xf>
    <xf numFmtId="349" fontId="53" fillId="32" borderId="113" applyNumberFormat="0" applyProtection="0">
      <alignment horizontal="left" vertical="top" indent="1"/>
    </xf>
    <xf numFmtId="349" fontId="53" fillId="13" borderId="108" applyNumberFormat="0" applyFont="0" applyAlignment="0" applyProtection="0"/>
    <xf numFmtId="349" fontId="53" fillId="13" borderId="108" applyNumberFormat="0" applyFont="0" applyAlignment="0" applyProtection="0"/>
    <xf numFmtId="349" fontId="53" fillId="32" borderId="108" applyNumberFormat="0" applyProtection="0">
      <alignment horizontal="left" vertical="center"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4" fontId="253" fillId="50" borderId="108" applyNumberFormat="0" applyProtection="0">
      <alignment horizontal="right" vertical="center"/>
    </xf>
    <xf numFmtId="349" fontId="53" fillId="13" borderId="108" applyNumberFormat="0" applyFont="0" applyAlignment="0" applyProtection="0"/>
    <xf numFmtId="4" fontId="53" fillId="22" borderId="114" applyNumberFormat="0" applyProtection="0">
      <alignment horizontal="right" vertical="center"/>
    </xf>
    <xf numFmtId="4" fontId="53" fillId="24" borderId="108" applyNumberFormat="0" applyProtection="0">
      <alignment horizontal="right" vertical="center"/>
    </xf>
    <xf numFmtId="4" fontId="53" fillId="29" borderId="114"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7" fontId="64" fillId="0" borderId="116" applyNumberFormat="0"/>
    <xf numFmtId="4" fontId="257" fillId="33" borderId="108" applyNumberFormat="0" applyProtection="0">
      <alignment horizontal="right" vertical="center"/>
    </xf>
    <xf numFmtId="349" fontId="53" fillId="19" borderId="113" applyNumberFormat="0" applyProtection="0">
      <alignment horizontal="left" vertical="top" indent="1"/>
    </xf>
    <xf numFmtId="349" fontId="255" fillId="19" borderId="113" applyNumberFormat="0" applyProtection="0">
      <alignment horizontal="left" vertical="top" indent="1"/>
    </xf>
    <xf numFmtId="349" fontId="53" fillId="30" borderId="113" applyNumberFormat="0" applyProtection="0">
      <alignment horizontal="left" vertical="top" indent="1"/>
    </xf>
    <xf numFmtId="349" fontId="9" fillId="32" borderId="113" applyNumberFormat="0" applyProtection="0">
      <alignment horizontal="left" vertical="center" indent="1"/>
    </xf>
    <xf numFmtId="349" fontId="9" fillId="19" borderId="113" applyNumberFormat="0" applyProtection="0">
      <alignment horizontal="left" vertical="center" indent="1"/>
    </xf>
    <xf numFmtId="349" fontId="53" fillId="31" borderId="113" applyNumberFormat="0" applyProtection="0">
      <alignment horizontal="left" vertical="top" indent="1"/>
    </xf>
    <xf numFmtId="4" fontId="9" fillId="31" borderId="114" applyNumberFormat="0" applyProtection="0">
      <alignment horizontal="left" vertical="center" indent="1"/>
    </xf>
    <xf numFmtId="4" fontId="53" fillId="64" borderId="108" applyNumberFormat="0" applyProtection="0">
      <alignment horizontal="left" vertical="center" indent="1"/>
    </xf>
    <xf numFmtId="349" fontId="53" fillId="31" borderId="113" applyNumberFormat="0" applyProtection="0">
      <alignment horizontal="left" vertical="top" indent="1"/>
    </xf>
    <xf numFmtId="349" fontId="53" fillId="13" borderId="108" applyNumberFormat="0" applyFont="0" applyAlignment="0" applyProtection="0"/>
    <xf numFmtId="4" fontId="253" fillId="50" borderId="108" applyNumberFormat="0" applyProtection="0">
      <alignment horizontal="right" vertical="center"/>
    </xf>
    <xf numFmtId="349" fontId="9" fillId="30" borderId="113" applyNumberFormat="0" applyProtection="0">
      <alignment horizontal="left" vertical="top" indent="1"/>
    </xf>
    <xf numFmtId="349" fontId="53" fillId="19" borderId="113" applyNumberFormat="0" applyProtection="0">
      <alignment horizontal="left" vertical="top" indent="1"/>
    </xf>
    <xf numFmtId="4" fontId="53" fillId="29" borderId="114" applyNumberFormat="0" applyProtection="0">
      <alignment horizontal="left" vertical="center" indent="1"/>
    </xf>
    <xf numFmtId="4" fontId="53" fillId="22" borderId="114" applyNumberFormat="0" applyProtection="0">
      <alignment horizontal="right" vertical="center"/>
    </xf>
    <xf numFmtId="4" fontId="255" fillId="61" borderId="113" applyNumberFormat="0" applyProtection="0">
      <alignment horizontal="left" vertical="center" indent="1"/>
    </xf>
    <xf numFmtId="349" fontId="15" fillId="0" borderId="117" applyNumberFormat="0" applyFill="0" applyAlignment="0" applyProtection="0"/>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251" fillId="127" borderId="108" applyNumberFormat="0" applyAlignment="0" applyProtection="0"/>
    <xf numFmtId="349" fontId="53" fillId="13" borderId="108" applyNumberFormat="0" applyFont="0" applyAlignment="0" applyProtection="0"/>
    <xf numFmtId="4" fontId="253" fillId="45" borderId="108" applyNumberFormat="0" applyProtection="0">
      <alignment vertical="center"/>
    </xf>
    <xf numFmtId="4" fontId="53" fillId="27" borderId="108" applyNumberFormat="0" applyProtection="0">
      <alignment horizontal="right" vertical="center"/>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255" fillId="34" borderId="113" applyNumberFormat="0" applyProtection="0">
      <alignment horizontal="left" vertical="top" indent="1"/>
    </xf>
    <xf numFmtId="349" fontId="15" fillId="0" borderId="117" applyNumberFormat="0" applyFill="0" applyAlignment="0" applyProtection="0"/>
    <xf numFmtId="349" fontId="53" fillId="30" borderId="113" applyNumberFormat="0" applyProtection="0">
      <alignment horizontal="left" vertical="top" indent="1"/>
    </xf>
    <xf numFmtId="349" fontId="53" fillId="32" borderId="108" applyNumberFormat="0" applyProtection="0">
      <alignment horizontal="left" vertical="center"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4" fontId="9" fillId="31" borderId="114" applyNumberFormat="0" applyProtection="0">
      <alignment horizontal="left" vertical="center" indent="1"/>
    </xf>
    <xf numFmtId="4" fontId="53" fillId="26" borderId="108" applyNumberFormat="0" applyProtection="0">
      <alignment horizontal="right" vertical="center"/>
    </xf>
    <xf numFmtId="349" fontId="53" fillId="13" borderId="108" applyNumberFormat="0" applyFont="0" applyAlignment="0" applyProtection="0"/>
    <xf numFmtId="4" fontId="53" fillId="18" borderId="108" applyNumberFormat="0" applyProtection="0">
      <alignment vertical="center"/>
    </xf>
    <xf numFmtId="4" fontId="53" fillId="29" borderId="114" applyNumberFormat="0" applyProtection="0">
      <alignment horizontal="left" vertical="center" indent="1"/>
    </xf>
    <xf numFmtId="349" fontId="9" fillId="31" borderId="113" applyNumberFormat="0" applyProtection="0">
      <alignment horizontal="left" vertical="center" indent="1"/>
    </xf>
    <xf numFmtId="349" fontId="9" fillId="19" borderId="113" applyNumberFormat="0" applyProtection="0">
      <alignment horizontal="left" vertical="top" indent="1"/>
    </xf>
    <xf numFmtId="349" fontId="53" fillId="13" borderId="108" applyNumberFormat="0" applyFont="0" applyAlignment="0" applyProtection="0"/>
    <xf numFmtId="214" fontId="64" fillId="0" borderId="28" applyFill="0"/>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4" fontId="53" fillId="19" borderId="108" applyNumberFormat="0" applyProtection="0">
      <alignment horizontal="right" vertical="center"/>
    </xf>
    <xf numFmtId="4" fontId="53" fillId="45" borderId="108" applyNumberFormat="0" applyProtection="0">
      <alignment horizontal="left" vertical="center" indent="1"/>
    </xf>
    <xf numFmtId="4" fontId="253" fillId="50" borderId="108" applyNumberFormat="0" applyProtection="0">
      <alignment horizontal="right" vertical="center"/>
    </xf>
    <xf numFmtId="349" fontId="53" fillId="30" borderId="113" applyNumberFormat="0" applyProtection="0">
      <alignment horizontal="left" vertical="top" indent="1"/>
    </xf>
    <xf numFmtId="349" fontId="255" fillId="19" borderId="113" applyNumberFormat="0" applyProtection="0">
      <alignment horizontal="left" vertical="top" indent="1"/>
    </xf>
    <xf numFmtId="4" fontId="257" fillId="33" borderId="108" applyNumberFormat="0" applyProtection="0">
      <alignment horizontal="right" vertical="center"/>
    </xf>
    <xf numFmtId="4" fontId="255" fillId="61" borderId="113" applyNumberFormat="0" applyProtection="0">
      <alignment horizontal="left" vertical="center" indent="1"/>
    </xf>
    <xf numFmtId="349" fontId="9" fillId="30" borderId="113" applyNumberFormat="0" applyProtection="0">
      <alignment horizontal="left" vertical="center"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9" fillId="30" borderId="113" applyNumberFormat="0" applyProtection="0">
      <alignment horizontal="left" vertical="top" indent="1"/>
    </xf>
    <xf numFmtId="4" fontId="9" fillId="31" borderId="114" applyNumberFormat="0" applyProtection="0">
      <alignment horizontal="left" vertical="center" indent="1"/>
    </xf>
    <xf numFmtId="349" fontId="9" fillId="31" borderId="113" applyNumberFormat="0" applyProtection="0">
      <alignment horizontal="left" vertical="top" indent="1"/>
    </xf>
    <xf numFmtId="4" fontId="53" fillId="22" borderId="114" applyNumberFormat="0" applyProtection="0">
      <alignment horizontal="right" vertical="center"/>
    </xf>
    <xf numFmtId="349" fontId="53" fillId="61" borderId="108" applyNumberFormat="0" applyProtection="0">
      <alignment horizontal="left" vertical="center" indent="1"/>
    </xf>
    <xf numFmtId="4" fontId="53" fillId="45" borderId="108" applyNumberFormat="0" applyProtection="0">
      <alignment horizontal="left" vertical="center" indent="1"/>
    </xf>
    <xf numFmtId="349" fontId="53" fillId="13" borderId="108" applyNumberFormat="0" applyFont="0" applyAlignment="0" applyProtection="0"/>
    <xf numFmtId="349" fontId="53" fillId="13" borderId="108" applyNumberFormat="0" applyFont="0" applyAlignment="0" applyProtection="0"/>
    <xf numFmtId="349" fontId="251" fillId="127" borderId="108" applyNumberFormat="0" applyAlignment="0" applyProtection="0"/>
    <xf numFmtId="349" fontId="53" fillId="13" borderId="108" applyNumberFormat="0" applyFont="0" applyAlignment="0" applyProtection="0"/>
    <xf numFmtId="4" fontId="53" fillId="20" borderId="108" applyNumberFormat="0" applyProtection="0">
      <alignment horizontal="right" vertical="center"/>
    </xf>
    <xf numFmtId="4" fontId="53" fillId="29" borderId="114" applyNumberFormat="0" applyProtection="0">
      <alignment horizontal="left" vertical="center" indent="1"/>
    </xf>
    <xf numFmtId="349" fontId="9" fillId="31" borderId="113" applyNumberFormat="0" applyProtection="0">
      <alignment horizontal="left" vertical="top" indent="1"/>
    </xf>
    <xf numFmtId="349" fontId="53" fillId="83" borderId="108" applyNumberFormat="0" applyProtection="0">
      <alignment horizontal="left" vertical="center"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1" borderId="113" applyNumberFormat="0" applyProtection="0">
      <alignment horizontal="left" vertical="top" indent="1"/>
    </xf>
    <xf numFmtId="4" fontId="53" fillId="28" borderId="108" applyNumberFormat="0" applyProtection="0">
      <alignment horizontal="right" vertical="center"/>
    </xf>
    <xf numFmtId="4" fontId="53" fillId="27" borderId="108" applyNumberFormat="0" applyProtection="0">
      <alignment horizontal="right" vertical="center"/>
    </xf>
    <xf numFmtId="349" fontId="53" fillId="31" borderId="113" applyNumberFormat="0" applyProtection="0">
      <alignment horizontal="left" vertical="top" indent="1"/>
    </xf>
    <xf numFmtId="349" fontId="53" fillId="32" borderId="113" applyNumberFormat="0" applyProtection="0">
      <alignment horizontal="left" vertical="top" indent="1"/>
    </xf>
    <xf numFmtId="349" fontId="251" fillId="127" borderId="108" applyNumberFormat="0" applyAlignment="0" applyProtection="0"/>
    <xf numFmtId="349" fontId="53" fillId="19" borderId="113" applyNumberFormat="0" applyProtection="0">
      <alignment horizontal="left" vertical="top" indent="1"/>
    </xf>
    <xf numFmtId="349" fontId="53" fillId="30" borderId="113" applyNumberFormat="0" applyProtection="0">
      <alignment horizontal="left" vertical="top" indent="1"/>
    </xf>
    <xf numFmtId="4" fontId="53" fillId="64" borderId="108" applyNumberFormat="0" applyProtection="0">
      <alignment horizontal="left" vertical="center" indent="1"/>
    </xf>
    <xf numFmtId="4" fontId="53" fillId="0" borderId="108" applyNumberFormat="0" applyProtection="0">
      <alignment horizontal="right" vertical="center"/>
    </xf>
    <xf numFmtId="349" fontId="53" fillId="13" borderId="108" applyNumberFormat="0" applyFont="0" applyAlignment="0" applyProtection="0"/>
    <xf numFmtId="349" fontId="142" fillId="14" borderId="108" applyNumberFormat="0" applyAlignment="0" applyProtection="0"/>
    <xf numFmtId="349" fontId="254" fillId="18" borderId="113" applyNumberFormat="0" applyProtection="0">
      <alignment horizontal="left" vertical="top" indent="1"/>
    </xf>
    <xf numFmtId="349" fontId="53" fillId="13" borderId="108" applyNumberFormat="0" applyFont="0" applyAlignment="0" applyProtection="0"/>
    <xf numFmtId="349" fontId="53" fillId="30" borderId="108" applyNumberFormat="0" applyProtection="0">
      <alignment horizontal="left" vertical="center" indent="1"/>
    </xf>
    <xf numFmtId="169" fontId="12" fillId="0" borderId="0" applyFont="0" applyFill="0" applyBorder="0" applyAlignment="0" applyProtection="0"/>
    <xf numFmtId="169" fontId="12" fillId="0" borderId="0" applyFont="0" applyFill="0" applyBorder="0" applyAlignment="0" applyProtection="0"/>
    <xf numFmtId="349" fontId="251" fillId="127" borderId="108" applyNumberFormat="0" applyAlignment="0" applyProtection="0"/>
    <xf numFmtId="4" fontId="253" fillId="50" borderId="108" applyNumberFormat="0" applyProtection="0">
      <alignment horizontal="right" vertical="center"/>
    </xf>
    <xf numFmtId="349" fontId="142" fillId="14" borderId="108" applyNumberFormat="0" applyAlignment="0" applyProtection="0"/>
    <xf numFmtId="169" fontId="12" fillId="0" borderId="0" applyFont="0" applyFill="0" applyBorder="0" applyAlignment="0" applyProtection="0"/>
    <xf numFmtId="349" fontId="251" fillId="127" borderId="108" applyNumberFormat="0" applyAlignment="0" applyProtection="0"/>
    <xf numFmtId="4" fontId="53" fillId="45" borderId="108" applyNumberFormat="0" applyProtection="0">
      <alignment horizontal="left" vertical="center" indent="1"/>
    </xf>
    <xf numFmtId="349" fontId="142" fillId="14" borderId="108" applyNumberFormat="0" applyAlignment="0" applyProtection="0"/>
    <xf numFmtId="4" fontId="53" fillId="64" borderId="108" applyNumberFormat="0" applyProtection="0">
      <alignment horizontal="left" vertical="center" indent="1"/>
    </xf>
    <xf numFmtId="4" fontId="53" fillId="26" borderId="108" applyNumberFormat="0" applyProtection="0">
      <alignment horizontal="right" vertical="center"/>
    </xf>
    <xf numFmtId="169" fontId="12" fillId="0" borderId="0" applyFont="0" applyFill="0" applyBorder="0" applyAlignment="0" applyProtection="0"/>
    <xf numFmtId="4" fontId="257" fillId="33" borderId="108" applyNumberFormat="0" applyProtection="0">
      <alignment horizontal="right" vertical="center"/>
    </xf>
    <xf numFmtId="4" fontId="53" fillId="23" borderId="108" applyNumberFormat="0" applyProtection="0">
      <alignment horizontal="right" vertical="center"/>
    </xf>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172" fontId="7" fillId="43" borderId="6">
      <alignment vertical="center"/>
    </xf>
    <xf numFmtId="172" fontId="7" fillId="3" borderId="6">
      <alignment vertical="center"/>
      <protection locked="0"/>
    </xf>
    <xf numFmtId="0" fontId="1" fillId="0" borderId="0"/>
    <xf numFmtId="0" fontId="7" fillId="0" borderId="0"/>
    <xf numFmtId="0" fontId="12" fillId="0" borderId="0"/>
    <xf numFmtId="0" fontId="7" fillId="0" borderId="0"/>
    <xf numFmtId="9" fontId="1" fillId="0" borderId="0" applyFont="0" applyFill="0" applyBorder="0" applyAlignment="0" applyProtection="0"/>
    <xf numFmtId="185" fontId="7" fillId="0" borderId="0"/>
    <xf numFmtId="10" fontId="36" fillId="0" borderId="0" applyFont="0" applyFill="0" applyBorder="0" applyAlignment="0" applyProtection="0">
      <alignment vertical="center"/>
    </xf>
    <xf numFmtId="169" fontId="7" fillId="0" borderId="0" applyFont="0" applyFill="0" applyBorder="0" applyAlignment="0" applyProtection="0"/>
    <xf numFmtId="9" fontId="7" fillId="0" borderId="0" applyFont="0" applyFill="0" applyBorder="0" applyAlignment="0" applyProtection="0"/>
  </cellStyleXfs>
  <cellXfs count="844">
    <xf numFmtId="0" fontId="0" fillId="0" borderId="0" xfId="0"/>
    <xf numFmtId="0" fontId="8" fillId="0" borderId="0" xfId="0" applyFont="1"/>
    <xf numFmtId="0" fontId="10" fillId="42" borderId="0" xfId="7" applyFont="1" applyFill="1"/>
    <xf numFmtId="0" fontId="0" fillId="0" borderId="0" xfId="0" applyAlignment="1">
      <alignment horizontal="center" vertical="top" wrapText="1"/>
    </xf>
    <xf numFmtId="0" fontId="24" fillId="0" borderId="0" xfId="75" applyFont="1"/>
    <xf numFmtId="0" fontId="33" fillId="0" borderId="0" xfId="75" applyFont="1"/>
    <xf numFmtId="0" fontId="30" fillId="47" borderId="0" xfId="90" applyFont="1" applyFill="1" applyAlignment="1">
      <alignment horizontal="left"/>
    </xf>
    <xf numFmtId="0" fontId="24" fillId="0" borderId="0" xfId="93" applyFont="1"/>
    <xf numFmtId="0" fontId="31" fillId="0" borderId="0" xfId="75" applyFont="1"/>
    <xf numFmtId="0" fontId="32" fillId="0" borderId="0" xfId="75" applyFont="1"/>
    <xf numFmtId="0" fontId="0" fillId="0" borderId="0" xfId="0" applyAlignment="1">
      <alignment vertical="center"/>
    </xf>
    <xf numFmtId="0" fontId="0" fillId="0" borderId="0" xfId="0" applyAlignment="1">
      <alignment horizontal="center" wrapText="1"/>
    </xf>
    <xf numFmtId="0" fontId="26" fillId="0" borderId="0" xfId="0" applyFont="1" applyAlignment="1">
      <alignment horizontal="right" indent="1"/>
    </xf>
    <xf numFmtId="0" fontId="0" fillId="0" borderId="0" xfId="0" applyAlignment="1">
      <alignment horizontal="center" vertical="center" wrapText="1"/>
    </xf>
    <xf numFmtId="0" fontId="10" fillId="0" borderId="0" xfId="7" applyFont="1" applyAlignment="1">
      <alignment horizontal="center"/>
    </xf>
    <xf numFmtId="177" fontId="10" fillId="38" borderId="65" xfId="1" applyNumberFormat="1" applyFont="1" applyFill="1" applyBorder="1" applyProtection="1"/>
    <xf numFmtId="177" fontId="10" fillId="38" borderId="66" xfId="1" applyNumberFormat="1" applyFont="1" applyFill="1" applyBorder="1" applyProtection="1"/>
    <xf numFmtId="177" fontId="10" fillId="38" borderId="67" xfId="1" applyNumberFormat="1" applyFont="1" applyFill="1" applyBorder="1" applyProtection="1"/>
    <xf numFmtId="177" fontId="10" fillId="38" borderId="59" xfId="1" applyNumberFormat="1" applyFont="1" applyFill="1" applyBorder="1" applyProtection="1"/>
    <xf numFmtId="177" fontId="10" fillId="38" borderId="60" xfId="1" applyNumberFormat="1" applyFont="1" applyFill="1" applyBorder="1" applyProtection="1"/>
    <xf numFmtId="177" fontId="10" fillId="38" borderId="61" xfId="1" applyNumberFormat="1" applyFont="1" applyFill="1" applyBorder="1" applyProtection="1"/>
    <xf numFmtId="177" fontId="10" fillId="38" borderId="71" xfId="1" applyNumberFormat="1" applyFont="1" applyFill="1" applyBorder="1" applyProtection="1"/>
    <xf numFmtId="177" fontId="10" fillId="38" borderId="72" xfId="1" applyNumberFormat="1" applyFont="1" applyFill="1" applyBorder="1" applyProtection="1"/>
    <xf numFmtId="177" fontId="10" fillId="38" borderId="73" xfId="1" applyNumberFormat="1" applyFont="1" applyFill="1" applyBorder="1" applyProtection="1"/>
    <xf numFmtId="1" fontId="8" fillId="2" borderId="71" xfId="0" applyNumberFormat="1" applyFont="1" applyFill="1" applyBorder="1" applyAlignment="1">
      <alignment horizontal="center" vertical="center"/>
    </xf>
    <xf numFmtId="1" fontId="8" fillId="2" borderId="72" xfId="0" applyNumberFormat="1" applyFont="1" applyFill="1" applyBorder="1" applyAlignment="1">
      <alignment horizontal="center" vertical="center"/>
    </xf>
    <xf numFmtId="177" fontId="11" fillId="38" borderId="71" xfId="1" applyNumberFormat="1" applyFont="1" applyFill="1" applyBorder="1" applyProtection="1"/>
    <xf numFmtId="177" fontId="11" fillId="38" borderId="72" xfId="1" applyNumberFormat="1" applyFont="1" applyFill="1" applyBorder="1" applyProtection="1"/>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5" fontId="10" fillId="38" borderId="64" xfId="77" applyNumberFormat="1" applyFont="1" applyFill="1" applyBorder="1" applyProtection="1"/>
    <xf numFmtId="177" fontId="10" fillId="39" borderId="59" xfId="1" applyNumberFormat="1" applyFont="1" applyFill="1" applyBorder="1" applyProtection="1"/>
    <xf numFmtId="177" fontId="10" fillId="39" borderId="60" xfId="1" applyNumberFormat="1" applyFont="1" applyFill="1" applyBorder="1" applyProtection="1"/>
    <xf numFmtId="175" fontId="10" fillId="38" borderId="70" xfId="77" applyNumberFormat="1" applyFont="1" applyFill="1" applyBorder="1" applyProtection="1"/>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53" borderId="0" xfId="0" applyFill="1"/>
    <xf numFmtId="178" fontId="0" fillId="0" borderId="0" xfId="0" applyNumberFormat="1" applyAlignment="1" applyProtection="1">
      <alignment horizontal="center" vertical="center"/>
      <protection locked="0"/>
    </xf>
    <xf numFmtId="0" fontId="8" fillId="0" borderId="0" xfId="0" applyFont="1" applyAlignment="1" applyProtection="1">
      <alignment horizontal="center" vertical="center"/>
      <protection locked="0"/>
    </xf>
    <xf numFmtId="256" fontId="0" fillId="0" borderId="0" xfId="0" applyNumberFormat="1" applyAlignment="1" applyProtection="1">
      <alignment horizontal="center" vertical="center"/>
      <protection locked="0"/>
    </xf>
    <xf numFmtId="177" fontId="10" fillId="39" borderId="85" xfId="1" applyNumberFormat="1" applyFont="1" applyFill="1" applyBorder="1" applyProtection="1"/>
    <xf numFmtId="177" fontId="10" fillId="39" borderId="81" xfId="1" applyNumberFormat="1" applyFont="1" applyFill="1" applyBorder="1" applyProtection="1"/>
    <xf numFmtId="177" fontId="10" fillId="39" borderId="82" xfId="1" applyNumberFormat="1" applyFont="1" applyFill="1" applyBorder="1" applyProtection="1"/>
    <xf numFmtId="177" fontId="10" fillId="39" borderId="86" xfId="1" applyNumberFormat="1" applyFont="1" applyFill="1" applyBorder="1" applyProtection="1"/>
    <xf numFmtId="177" fontId="10" fillId="39" borderId="87" xfId="1" applyNumberFormat="1" applyFont="1" applyFill="1" applyBorder="1" applyProtection="1"/>
    <xf numFmtId="0" fontId="34" fillId="0" borderId="0" xfId="92" applyAlignment="1">
      <alignment horizontal="left" indent="1"/>
    </xf>
    <xf numFmtId="0" fontId="26" fillId="0" borderId="0" xfId="0" applyFont="1" applyAlignment="1">
      <alignment horizontal="center"/>
    </xf>
    <xf numFmtId="0" fontId="0" fillId="0" borderId="63" xfId="0" applyBorder="1" applyAlignment="1">
      <alignment horizontal="center"/>
    </xf>
    <xf numFmtId="177" fontId="10" fillId="38" borderId="100" xfId="1" applyNumberFormat="1" applyFont="1" applyFill="1" applyBorder="1" applyProtection="1"/>
    <xf numFmtId="10" fontId="0" fillId="0" borderId="64" xfId="0" applyNumberFormat="1" applyBorder="1"/>
    <xf numFmtId="3" fontId="11" fillId="0" borderId="0" xfId="89" applyNumberFormat="1" applyFont="1" applyAlignment="1">
      <alignment horizontal="left" indent="1"/>
    </xf>
    <xf numFmtId="0" fontId="0" fillId="53" borderId="0" xfId="0" applyFill="1" applyAlignment="1">
      <alignment horizontal="left" indent="1"/>
    </xf>
    <xf numFmtId="0" fontId="247"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247" fillId="116" borderId="0" xfId="0" applyFont="1" applyFill="1"/>
    <xf numFmtId="0" fontId="247" fillId="116" borderId="0" xfId="0" applyFont="1" applyFill="1" applyAlignment="1">
      <alignment horizontal="left" indent="1"/>
    </xf>
    <xf numFmtId="0" fontId="247" fillId="116" borderId="0" xfId="0" applyFont="1" applyFill="1" applyAlignment="1">
      <alignment wrapText="1"/>
    </xf>
    <xf numFmtId="0" fontId="11" fillId="0" borderId="0" xfId="77" applyNumberFormat="1" applyFont="1" applyFill="1" applyBorder="1" applyAlignment="1" applyProtection="1">
      <alignment horizontal="left" indent="1"/>
    </xf>
    <xf numFmtId="0" fontId="10" fillId="0" borderId="0" xfId="77" applyNumberFormat="1" applyFont="1" applyFill="1" applyBorder="1" applyAlignment="1" applyProtection="1">
      <alignment horizontal="center"/>
    </xf>
    <xf numFmtId="175" fontId="11" fillId="0" borderId="0" xfId="77" applyNumberFormat="1" applyFont="1" applyFill="1" applyBorder="1" applyProtection="1"/>
    <xf numFmtId="175" fontId="10" fillId="38" borderId="59" xfId="77" applyNumberFormat="1" applyFont="1" applyFill="1" applyBorder="1" applyProtection="1"/>
    <xf numFmtId="175" fontId="10" fillId="38" borderId="61" xfId="77" applyNumberFormat="1" applyFont="1" applyFill="1" applyBorder="1" applyProtection="1"/>
    <xf numFmtId="177" fontId="10" fillId="38" borderId="68" xfId="1" applyNumberFormat="1" applyFont="1" applyFill="1" applyBorder="1" applyProtection="1"/>
    <xf numFmtId="177" fontId="10" fillId="38" borderId="69" xfId="1" applyNumberFormat="1" applyFont="1" applyFill="1" applyBorder="1" applyProtection="1"/>
    <xf numFmtId="0" fontId="11" fillId="53" borderId="0" xfId="77" applyNumberFormat="1" applyFont="1" applyFill="1" applyBorder="1" applyAlignment="1" applyProtection="1">
      <alignment horizontal="left" indent="1"/>
    </xf>
    <xf numFmtId="0" fontId="10" fillId="53" borderId="0" xfId="77" applyNumberFormat="1" applyFont="1" applyFill="1" applyBorder="1" applyAlignment="1" applyProtection="1">
      <alignment horizontal="center"/>
    </xf>
    <xf numFmtId="175" fontId="11" fillId="53" borderId="0" xfId="77" applyNumberFormat="1" applyFont="1" applyFill="1" applyBorder="1" applyProtection="1"/>
    <xf numFmtId="0" fontId="11" fillId="116" borderId="0" xfId="77" applyNumberFormat="1" applyFont="1" applyFill="1" applyBorder="1" applyAlignment="1" applyProtection="1">
      <alignment horizontal="left" indent="1"/>
    </xf>
    <xf numFmtId="0" fontId="10" fillId="116" borderId="0" xfId="77" applyNumberFormat="1" applyFont="1" applyFill="1" applyBorder="1" applyAlignment="1" applyProtection="1">
      <alignment horizontal="left" indent="1"/>
    </xf>
    <xf numFmtId="0" fontId="10" fillId="42" borderId="0" xfId="7" applyFont="1" applyFill="1" applyAlignment="1">
      <alignment horizontal="left" indent="1"/>
    </xf>
    <xf numFmtId="178" fontId="0" fillId="117" borderId="63" xfId="0" applyNumberFormat="1" applyFill="1" applyBorder="1" applyAlignment="1">
      <alignment horizontal="right" indent="1"/>
    </xf>
    <xf numFmtId="177" fontId="10" fillId="38" borderId="78" xfId="1" applyNumberFormat="1" applyFont="1" applyFill="1" applyBorder="1" applyProtection="1"/>
    <xf numFmtId="177" fontId="10" fillId="38" borderId="89" xfId="1" applyNumberFormat="1" applyFont="1" applyFill="1" applyBorder="1" applyProtection="1"/>
    <xf numFmtId="177" fontId="10" fillId="38" borderId="106" xfId="1" applyNumberFormat="1" applyFont="1" applyFill="1" applyBorder="1" applyProtection="1"/>
    <xf numFmtId="177" fontId="10" fillId="52" borderId="59" xfId="1" applyNumberFormat="1" applyFont="1" applyFill="1" applyBorder="1" applyProtection="1"/>
    <xf numFmtId="0" fontId="8" fillId="0" borderId="0" xfId="0" applyFont="1" applyAlignment="1" applyProtection="1">
      <alignment horizontal="left" indent="1"/>
      <protection locked="0"/>
    </xf>
    <xf numFmtId="0" fontId="0" fillId="0" borderId="0" xfId="0" applyAlignment="1" applyProtection="1">
      <alignment horizontal="left" indent="1"/>
      <protection locked="0"/>
    </xf>
    <xf numFmtId="0" fontId="8" fillId="0" borderId="0" xfId="0" applyFont="1" applyAlignment="1">
      <alignment horizontal="left" indent="1"/>
    </xf>
    <xf numFmtId="0" fontId="0" fillId="0" borderId="0" xfId="0" applyAlignment="1">
      <alignment horizontal="left" vertical="center" wrapText="1" indent="1"/>
    </xf>
    <xf numFmtId="0" fontId="247" fillId="0" borderId="0" xfId="0" applyFont="1" applyAlignment="1">
      <alignment horizontal="left" indent="1"/>
    </xf>
    <xf numFmtId="0" fontId="247" fillId="0" borderId="0" xfId="0" applyFont="1" applyAlignment="1">
      <alignment wrapText="1"/>
    </xf>
    <xf numFmtId="0" fontId="247" fillId="0" borderId="0" xfId="0" applyFont="1"/>
    <xf numFmtId="3" fontId="0" fillId="0" borderId="0" xfId="0" applyNumberFormat="1"/>
    <xf numFmtId="0" fontId="0" fillId="52" borderId="78" xfId="0" applyFill="1" applyBorder="1" applyAlignment="1">
      <alignment horizontal="left" vertical="center" wrapText="1" indent="1"/>
    </xf>
    <xf numFmtId="0" fontId="30" fillId="42" borderId="0" xfId="90" applyFont="1" applyFill="1" applyAlignment="1">
      <alignment horizontal="left"/>
    </xf>
    <xf numFmtId="0" fontId="10" fillId="0" borderId="0" xfId="7" applyFont="1" applyAlignment="1">
      <alignment horizontal="left" vertical="center" wrapText="1" indent="1"/>
    </xf>
    <xf numFmtId="0" fontId="0" fillId="42" borderId="0" xfId="0" applyFill="1" applyAlignment="1" applyProtection="1">
      <alignment horizontal="center" vertical="center"/>
      <protection locked="0"/>
    </xf>
    <xf numFmtId="177" fontId="11" fillId="51" borderId="71" xfId="1" applyNumberFormat="1" applyFont="1" applyFill="1" applyBorder="1" applyProtection="1"/>
    <xf numFmtId="175" fontId="10" fillId="116" borderId="71" xfId="1" applyNumberFormat="1" applyFont="1" applyFill="1" applyBorder="1" applyProtection="1"/>
    <xf numFmtId="175" fontId="10" fillId="116" borderId="72" xfId="1" applyNumberFormat="1" applyFont="1" applyFill="1" applyBorder="1" applyProtection="1"/>
    <xf numFmtId="175" fontId="10" fillId="51" borderId="71" xfId="1" applyNumberFormat="1" applyFont="1" applyFill="1" applyBorder="1" applyProtection="1"/>
    <xf numFmtId="175" fontId="10" fillId="51" borderId="72" xfId="1" applyNumberFormat="1" applyFont="1" applyFill="1" applyBorder="1" applyProtection="1"/>
    <xf numFmtId="0" fontId="260" fillId="47" borderId="0" xfId="90" applyFont="1" applyFill="1" applyAlignment="1">
      <alignment horizontal="left"/>
    </xf>
    <xf numFmtId="0" fontId="259" fillId="47" borderId="0" xfId="0" applyFont="1" applyFill="1"/>
    <xf numFmtId="0" fontId="261" fillId="47" borderId="0" xfId="92" applyFont="1" applyFill="1" applyAlignment="1">
      <alignment wrapText="1"/>
    </xf>
    <xf numFmtId="0" fontId="259" fillId="47" borderId="0" xfId="0" applyFont="1" applyFill="1" applyAlignment="1">
      <alignment wrapText="1"/>
    </xf>
    <xf numFmtId="0" fontId="259" fillId="47" borderId="0" xfId="0" applyFont="1" applyFill="1" applyAlignment="1">
      <alignment horizontal="left" indent="1"/>
    </xf>
    <xf numFmtId="0" fontId="259" fillId="47" borderId="11" xfId="0" applyFont="1" applyFill="1" applyBorder="1" applyAlignment="1">
      <alignment wrapText="1"/>
    </xf>
    <xf numFmtId="0" fontId="259" fillId="47" borderId="90" xfId="0" applyFont="1" applyFill="1" applyBorder="1" applyAlignment="1">
      <alignment wrapText="1"/>
    </xf>
    <xf numFmtId="350" fontId="0" fillId="0" borderId="0" xfId="0" applyNumberFormat="1"/>
    <xf numFmtId="0" fontId="0" fillId="0" borderId="0" xfId="0" applyProtection="1">
      <protection locked="0"/>
    </xf>
    <xf numFmtId="0" fontId="0" fillId="0" borderId="0" xfId="0" applyAlignment="1">
      <alignment horizontal="left" wrapText="1" indent="1"/>
    </xf>
    <xf numFmtId="3" fontId="10" fillId="0" borderId="99" xfId="89" applyNumberFormat="1" applyFont="1" applyBorder="1" applyAlignment="1">
      <alignment horizontal="left" indent="1"/>
    </xf>
    <xf numFmtId="348" fontId="0" fillId="0" borderId="63" xfId="0" applyNumberFormat="1" applyBorder="1" applyAlignment="1">
      <alignment horizontal="right" indent="1"/>
    </xf>
    <xf numFmtId="3" fontId="10" fillId="0" borderId="97" xfId="89" applyNumberFormat="1" applyFont="1" applyBorder="1" applyAlignment="1">
      <alignment horizontal="left" indent="1"/>
    </xf>
    <xf numFmtId="183" fontId="10" fillId="0" borderId="0" xfId="7" applyNumberFormat="1" applyFont="1" applyAlignment="1">
      <alignment horizontal="center" vertical="center"/>
    </xf>
    <xf numFmtId="0" fontId="10" fillId="42" borderId="0" xfId="7" applyFont="1" applyFill="1" applyAlignment="1">
      <alignment horizontal="center"/>
    </xf>
    <xf numFmtId="0" fontId="0" fillId="132" borderId="0" xfId="0" applyFill="1"/>
    <xf numFmtId="0" fontId="0" fillId="0" borderId="119" xfId="0" applyBorder="1"/>
    <xf numFmtId="0" fontId="0" fillId="132" borderId="119" xfId="0" applyFill="1" applyBorder="1"/>
    <xf numFmtId="0" fontId="10" fillId="0" borderId="0" xfId="0" applyFont="1"/>
    <xf numFmtId="350" fontId="10" fillId="0" borderId="0" xfId="0" applyNumberFormat="1" applyFont="1"/>
    <xf numFmtId="347" fontId="246" fillId="0" borderId="0" xfId="0" applyNumberFormat="1" applyFont="1" applyAlignment="1">
      <alignment vertical="center"/>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10" fontId="0" fillId="0" borderId="95" xfId="0" applyNumberFormat="1" applyBorder="1"/>
    <xf numFmtId="10" fontId="0" fillId="0" borderId="61" xfId="0" applyNumberFormat="1" applyBorder="1"/>
    <xf numFmtId="10" fontId="0" fillId="0" borderId="93" xfId="0" applyNumberFormat="1" applyBorder="1"/>
    <xf numFmtId="0" fontId="0" fillId="0" borderId="11" xfId="0" applyBorder="1"/>
    <xf numFmtId="0" fontId="36" fillId="0" borderId="0" xfId="0" applyFont="1"/>
    <xf numFmtId="0" fontId="0" fillId="0" borderId="0" xfId="0" applyAlignment="1" applyProtection="1">
      <alignment horizontal="center"/>
      <protection locked="0"/>
    </xf>
    <xf numFmtId="0" fontId="10" fillId="0" borderId="89" xfId="7" applyFont="1" applyBorder="1" applyAlignment="1">
      <alignment horizontal="left" vertical="center" wrapText="1" indent="1"/>
    </xf>
    <xf numFmtId="178" fontId="0" fillId="117" borderId="59" xfId="0" applyNumberFormat="1" applyFill="1" applyBorder="1" applyAlignment="1">
      <alignment horizontal="right" indent="1"/>
    </xf>
    <xf numFmtId="178" fontId="0" fillId="117" borderId="60" xfId="0" applyNumberFormat="1" applyFill="1" applyBorder="1" applyAlignment="1">
      <alignment horizontal="right" indent="1"/>
    </xf>
    <xf numFmtId="178" fontId="0" fillId="117" borderId="62" xfId="0" applyNumberFormat="1" applyFill="1" applyBorder="1" applyAlignment="1">
      <alignment horizontal="right" indent="1"/>
    </xf>
    <xf numFmtId="10" fontId="0" fillId="0" borderId="99" xfId="0" applyNumberFormat="1" applyBorder="1"/>
    <xf numFmtId="178" fontId="0" fillId="117" borderId="64" xfId="0" applyNumberFormat="1" applyFill="1" applyBorder="1" applyAlignment="1">
      <alignment horizontal="right" indent="1"/>
    </xf>
    <xf numFmtId="10" fontId="0" fillId="0" borderId="97" xfId="0" applyNumberFormat="1" applyBorder="1"/>
    <xf numFmtId="10" fontId="0" fillId="0" borderId="91" xfId="0" applyNumberFormat="1" applyBorder="1"/>
    <xf numFmtId="178" fontId="0" fillId="117" borderId="66" xfId="0" applyNumberFormat="1" applyFill="1" applyBorder="1" applyAlignment="1">
      <alignment horizontal="right" indent="1"/>
    </xf>
    <xf numFmtId="178" fontId="0" fillId="117" borderId="67" xfId="0" applyNumberFormat="1" applyFill="1" applyBorder="1" applyAlignment="1">
      <alignment horizontal="right" indent="1"/>
    </xf>
    <xf numFmtId="10" fontId="0" fillId="0" borderId="100" xfId="0" applyNumberFormat="1" applyBorder="1"/>
    <xf numFmtId="0" fontId="10" fillId="42" borderId="120" xfId="7" applyFont="1" applyFill="1" applyBorder="1" applyAlignment="1">
      <alignment horizontal="left" indent="1"/>
    </xf>
    <xf numFmtId="1" fontId="8" fillId="2" borderId="121" xfId="0" applyNumberFormat="1" applyFont="1" applyFill="1" applyBorder="1" applyAlignment="1">
      <alignment horizontal="center" vertical="center"/>
    </xf>
    <xf numFmtId="1" fontId="8" fillId="2" borderId="122" xfId="0" applyNumberFormat="1" applyFont="1" applyFill="1" applyBorder="1" applyAlignment="1">
      <alignment horizontal="center" vertical="center"/>
    </xf>
    <xf numFmtId="1" fontId="0" fillId="0" borderId="120" xfId="0" applyNumberFormat="1" applyBorder="1" applyAlignment="1">
      <alignment horizontal="left" indent="1"/>
    </xf>
    <xf numFmtId="0" fontId="0" fillId="0" borderId="123" xfId="0" applyBorder="1"/>
    <xf numFmtId="177" fontId="10" fillId="38" borderId="120" xfId="1" applyNumberFormat="1" applyFont="1" applyFill="1" applyBorder="1" applyProtection="1"/>
    <xf numFmtId="177" fontId="10" fillId="38" borderId="121" xfId="1" applyNumberFormat="1" applyFont="1" applyFill="1" applyBorder="1" applyProtection="1"/>
    <xf numFmtId="177" fontId="10" fillId="38" borderId="122" xfId="1" applyNumberFormat="1" applyFont="1" applyFill="1" applyBorder="1" applyProtection="1"/>
    <xf numFmtId="3" fontId="0" fillId="0" borderId="123" xfId="0" applyNumberFormat="1" applyBorder="1" applyAlignment="1">
      <alignment horizontal="center" vertical="center" wrapText="1"/>
    </xf>
    <xf numFmtId="0" fontId="0" fillId="0" borderId="94" xfId="0" applyBorder="1" applyAlignment="1">
      <alignment horizontal="left" vertical="center" wrapText="1" indent="1"/>
    </xf>
    <xf numFmtId="177" fontId="10" fillId="38" borderId="76" xfId="1" applyNumberFormat="1" applyFont="1" applyFill="1" applyBorder="1" applyProtection="1"/>
    <xf numFmtId="177" fontId="11" fillId="38" borderId="124" xfId="1" applyNumberFormat="1" applyFont="1" applyFill="1" applyBorder="1" applyProtection="1"/>
    <xf numFmtId="177" fontId="11" fillId="38" borderId="125" xfId="1" applyNumberFormat="1" applyFont="1" applyFill="1" applyBorder="1" applyProtection="1"/>
    <xf numFmtId="177" fontId="11" fillId="38" borderId="126" xfId="1" applyNumberFormat="1" applyFont="1" applyFill="1" applyBorder="1" applyProtection="1"/>
    <xf numFmtId="0" fontId="0" fillId="0" borderId="127" xfId="0" applyBorder="1"/>
    <xf numFmtId="175" fontId="11" fillId="38" borderId="124" xfId="77" applyNumberFormat="1" applyFont="1" applyFill="1" applyBorder="1" applyProtection="1"/>
    <xf numFmtId="175" fontId="11" fillId="38" borderId="126" xfId="77" applyNumberFormat="1" applyFont="1" applyFill="1" applyBorder="1" applyProtection="1"/>
    <xf numFmtId="175" fontId="11" fillId="38" borderId="125" xfId="77" applyNumberFormat="1" applyFont="1" applyFill="1" applyBorder="1" applyProtection="1"/>
    <xf numFmtId="175" fontId="10" fillId="38" borderId="77" xfId="77" applyNumberFormat="1" applyFont="1" applyFill="1" applyBorder="1" applyProtection="1"/>
    <xf numFmtId="175" fontId="11" fillId="38" borderId="128" xfId="77" applyNumberFormat="1" applyFont="1" applyFill="1" applyBorder="1" applyProtection="1"/>
    <xf numFmtId="175" fontId="10"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60" fillId="0" borderId="0" xfId="90" applyFont="1" applyAlignment="1">
      <alignment horizontal="left"/>
    </xf>
    <xf numFmtId="0" fontId="259" fillId="0" borderId="0" xfId="0" applyFont="1"/>
    <xf numFmtId="0" fontId="259" fillId="0" borderId="0" xfId="0" applyFont="1" applyAlignment="1">
      <alignment wrapText="1"/>
    </xf>
    <xf numFmtId="0" fontId="10" fillId="0" borderId="11" xfId="77" applyNumberFormat="1" applyFont="1" applyFill="1" applyBorder="1" applyAlignment="1" applyProtection="1">
      <alignment horizontal="center"/>
    </xf>
    <xf numFmtId="0" fontId="10" fillId="51" borderId="0" xfId="77" applyNumberFormat="1" applyFont="1" applyFill="1" applyBorder="1" applyAlignment="1" applyProtection="1">
      <alignment horizontal="left" indent="1"/>
    </xf>
    <xf numFmtId="0" fontId="11" fillId="51" borderId="0" xfId="77" applyNumberFormat="1" applyFont="1" applyFill="1" applyBorder="1" applyAlignment="1" applyProtection="1">
      <alignment horizontal="left" indent="1"/>
    </xf>
    <xf numFmtId="3" fontId="0" fillId="0" borderId="120" xfId="0" applyNumberFormat="1" applyBorder="1" applyAlignment="1">
      <alignment horizontal="center" vertical="center" wrapText="1"/>
    </xf>
    <xf numFmtId="0" fontId="0" fillId="0" borderId="99" xfId="0" applyBorder="1" applyAlignment="1">
      <alignment horizontal="left" vertical="center" wrapText="1" indent="1"/>
    </xf>
    <xf numFmtId="184" fontId="10" fillId="3" borderId="0" xfId="0" applyNumberFormat="1" applyFont="1" applyFill="1" applyAlignment="1" applyProtection="1">
      <alignment horizontal="left" vertical="center" indent="1"/>
      <protection locked="0"/>
    </xf>
    <xf numFmtId="10" fontId="0" fillId="0" borderId="0" xfId="0" applyNumberFormat="1"/>
    <xf numFmtId="178" fontId="0" fillId="0" borderId="127" xfId="0" applyNumberFormat="1" applyBorder="1" applyAlignment="1">
      <alignment horizontal="right" indent="1"/>
    </xf>
    <xf numFmtId="178" fontId="0" fillId="117" borderId="86" xfId="0" applyNumberFormat="1" applyFill="1" applyBorder="1" applyAlignment="1">
      <alignment horizontal="right" indent="1"/>
    </xf>
    <xf numFmtId="10" fontId="0" fillId="0" borderId="130" xfId="0" applyNumberFormat="1" applyBorder="1"/>
    <xf numFmtId="1" fontId="8" fillId="53" borderId="133" xfId="0" applyNumberFormat="1" applyFont="1" applyFill="1" applyBorder="1" applyAlignment="1">
      <alignment horizontal="center" vertical="center"/>
    </xf>
    <xf numFmtId="1" fontId="8" fillId="53" borderId="134" xfId="0" applyNumberFormat="1" applyFont="1" applyFill="1" applyBorder="1" applyAlignment="1">
      <alignment horizontal="center" vertical="center"/>
    </xf>
    <xf numFmtId="178" fontId="0" fillId="117" borderId="136" xfId="0" applyNumberFormat="1" applyFill="1" applyBorder="1" applyAlignment="1">
      <alignment horizontal="right" indent="1"/>
    </xf>
    <xf numFmtId="10" fontId="0" fillId="0" borderId="137" xfId="0" applyNumberFormat="1" applyBorder="1"/>
    <xf numFmtId="3" fontId="10" fillId="0" borderId="135" xfId="89" applyNumberFormat="1" applyFont="1" applyBorder="1" applyAlignment="1">
      <alignment horizontal="left" indent="1"/>
    </xf>
    <xf numFmtId="0" fontId="0" fillId="0" borderId="136" xfId="0" applyBorder="1" applyAlignment="1">
      <alignment horizontal="center"/>
    </xf>
    <xf numFmtId="3" fontId="10" fillId="0" borderId="129" xfId="89" applyNumberFormat="1" applyFont="1" applyBorder="1" applyAlignment="1">
      <alignment horizontal="left" indent="1"/>
    </xf>
    <xf numFmtId="3" fontId="10" fillId="0" borderId="139" xfId="89" applyNumberFormat="1" applyFont="1" applyBorder="1" applyAlignment="1">
      <alignment horizontal="left" indent="1"/>
    </xf>
    <xf numFmtId="0" fontId="0" fillId="0" borderId="131" xfId="0" applyBorder="1" applyAlignment="1">
      <alignment horizontal="center"/>
    </xf>
    <xf numFmtId="0" fontId="10" fillId="0" borderId="132" xfId="7" applyFont="1" applyBorder="1" applyAlignment="1">
      <alignment horizontal="left" indent="1"/>
    </xf>
    <xf numFmtId="10" fontId="0" fillId="0" borderId="141" xfId="0" applyNumberFormat="1" applyBorder="1"/>
    <xf numFmtId="0" fontId="0" fillId="0" borderId="134" xfId="0" applyBorder="1"/>
    <xf numFmtId="0" fontId="0" fillId="0" borderId="142" xfId="0" applyBorder="1"/>
    <xf numFmtId="0" fontId="0" fillId="0" borderId="143" xfId="0" applyBorder="1" applyAlignment="1">
      <alignment horizontal="center" vertical="center" wrapText="1"/>
    </xf>
    <xf numFmtId="0" fontId="10" fillId="0" borderId="144" xfId="7" applyFont="1" applyBorder="1" applyAlignment="1">
      <alignment horizontal="center" vertical="center" wrapText="1"/>
    </xf>
    <xf numFmtId="0" fontId="0" fillId="0" borderId="6" xfId="0" applyBorder="1" applyAlignment="1">
      <alignment horizontal="left" vertical="center"/>
    </xf>
    <xf numFmtId="0" fontId="247" fillId="0" borderId="6" xfId="0" applyFont="1" applyBorder="1" applyAlignment="1">
      <alignment horizontal="center" vertical="center"/>
    </xf>
    <xf numFmtId="0" fontId="0" fillId="0" borderId="0" xfId="0" applyAlignment="1" applyProtection="1">
      <alignment horizontal="left" vertical="center"/>
      <protection locked="0"/>
    </xf>
    <xf numFmtId="0" fontId="34" fillId="0" borderId="0" xfId="92" quotePrefix="1" applyAlignment="1">
      <alignment horizontal="left" indent="1"/>
    </xf>
    <xf numFmtId="0" fontId="0" fillId="0" borderId="127" xfId="0" applyBorder="1" applyAlignment="1" applyProtection="1">
      <alignment horizontal="center" vertical="center"/>
      <protection locked="0"/>
    </xf>
    <xf numFmtId="351" fontId="0" fillId="0" borderId="127"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0" fillId="0" borderId="6" xfId="7" applyFont="1" applyBorder="1" applyAlignment="1">
      <alignment horizontal="left" indent="1"/>
    </xf>
    <xf numFmtId="0" fontId="10" fillId="36" borderId="6" xfId="75" applyFont="1" applyFill="1" applyBorder="1" applyAlignment="1">
      <alignment horizontal="right" vertical="center"/>
    </xf>
    <xf numFmtId="0" fontId="25" fillId="36" borderId="6" xfId="75" applyFont="1" applyFill="1" applyBorder="1"/>
    <xf numFmtId="1" fontId="10" fillId="38" borderId="6" xfId="1" applyNumberFormat="1" applyFont="1" applyFill="1" applyBorder="1" applyAlignment="1" applyProtection="1">
      <alignment horizontal="right" vertical="center"/>
    </xf>
    <xf numFmtId="0" fontId="25" fillId="38" borderId="6" xfId="75" applyFont="1" applyFill="1" applyBorder="1"/>
    <xf numFmtId="0" fontId="10" fillId="0" borderId="6" xfId="7" applyFont="1" applyBorder="1" applyAlignment="1">
      <alignment horizontal="left" wrapText="1" indent="1"/>
    </xf>
    <xf numFmtId="0" fontId="10" fillId="36" borderId="6" xfId="75" applyFont="1" applyFill="1" applyBorder="1" applyAlignment="1">
      <alignment vertical="center"/>
    </xf>
    <xf numFmtId="0" fontId="25" fillId="39" borderId="6" xfId="75" applyFont="1" applyFill="1" applyBorder="1"/>
    <xf numFmtId="0" fontId="25" fillId="40" borderId="6" xfId="75" applyFont="1" applyFill="1" applyBorder="1"/>
    <xf numFmtId="180" fontId="10" fillId="36" borderId="6" xfId="75" applyNumberFormat="1" applyFont="1" applyFill="1" applyBorder="1" applyAlignment="1">
      <alignment vertical="center"/>
    </xf>
    <xf numFmtId="0" fontId="25" fillId="37" borderId="6" xfId="75" applyFont="1" applyFill="1" applyBorder="1"/>
    <xf numFmtId="0" fontId="25" fillId="41" borderId="6" xfId="75" applyFont="1" applyFill="1" applyBorder="1"/>
    <xf numFmtId="0" fontId="25" fillId="0" borderId="6" xfId="75" applyFont="1" applyBorder="1"/>
    <xf numFmtId="0" fontId="259" fillId="47" borderId="127" xfId="0" applyFont="1" applyFill="1" applyBorder="1" applyAlignment="1">
      <alignment wrapText="1"/>
    </xf>
    <xf numFmtId="175" fontId="10" fillId="38" borderId="6" xfId="77" applyNumberFormat="1" applyFont="1" applyFill="1" applyBorder="1" applyAlignment="1" applyProtection="1">
      <alignment vertical="center"/>
    </xf>
    <xf numFmtId="0" fontId="247" fillId="132" borderId="6" xfId="0" applyFont="1" applyFill="1" applyBorder="1" applyAlignment="1">
      <alignment horizontal="center" vertical="center"/>
    </xf>
    <xf numFmtId="10" fontId="10"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0" fillId="42" borderId="6" xfId="7" applyNumberFormat="1" applyFont="1" applyFill="1" applyBorder="1" applyAlignment="1">
      <alignment horizontal="center" vertical="center"/>
    </xf>
    <xf numFmtId="0" fontId="8" fillId="2" borderId="6" xfId="0" applyFont="1" applyFill="1" applyBorder="1" applyAlignment="1">
      <alignment horizontal="center" vertical="center"/>
    </xf>
    <xf numFmtId="0" fontId="11" fillId="2" borderId="6" xfId="7" applyFont="1" applyFill="1" applyBorder="1" applyAlignment="1">
      <alignment horizontal="center" vertical="center"/>
    </xf>
    <xf numFmtId="0" fontId="0" fillId="0" borderId="6" xfId="0" applyBorder="1" applyAlignment="1">
      <alignment wrapText="1"/>
    </xf>
    <xf numFmtId="0" fontId="10"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3" fillId="0" borderId="6" xfId="75" applyFont="1" applyBorder="1" applyAlignment="1">
      <alignment horizontal="center" vertical="center"/>
    </xf>
    <xf numFmtId="0" fontId="24" fillId="0" borderId="6" xfId="75" applyFont="1" applyBorder="1" applyAlignment="1">
      <alignment horizontal="center"/>
    </xf>
    <xf numFmtId="180" fontId="10" fillId="36" borderId="6" xfId="75" applyNumberFormat="1" applyFont="1" applyFill="1" applyBorder="1"/>
    <xf numFmtId="177" fontId="10" fillId="38" borderId="6" xfId="1" applyNumberFormat="1" applyFont="1" applyFill="1" applyBorder="1" applyProtection="1"/>
    <xf numFmtId="177" fontId="10" fillId="38" borderId="6" xfId="1" applyNumberFormat="1" applyFont="1" applyFill="1" applyBorder="1" applyAlignment="1" applyProtection="1">
      <alignment horizontal="right"/>
    </xf>
    <xf numFmtId="9" fontId="9" fillId="0" borderId="6" xfId="77" applyFont="1" applyFill="1" applyBorder="1" applyAlignment="1">
      <alignment horizontal="center" vertical="center"/>
    </xf>
    <xf numFmtId="10" fontId="0" fillId="0" borderId="101" xfId="0" applyNumberFormat="1" applyBorder="1"/>
    <xf numFmtId="10" fontId="0" fillId="0" borderId="104" xfId="0" applyNumberFormat="1" applyBorder="1"/>
    <xf numFmtId="10" fontId="0" fillId="0" borderId="6" xfId="0" applyNumberFormat="1" applyBorder="1"/>
    <xf numFmtId="177" fontId="11" fillId="51" borderId="124" xfId="1" applyNumberFormat="1" applyFont="1" applyFill="1" applyBorder="1" applyProtection="1"/>
    <xf numFmtId="177" fontId="0" fillId="0" borderId="0" xfId="0" applyNumberFormat="1" applyAlignment="1" applyProtection="1">
      <alignment horizontal="center" vertical="center"/>
      <protection locked="0"/>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27" xfId="0" applyFill="1" applyBorder="1"/>
    <xf numFmtId="3" fontId="0" fillId="52" borderId="90" xfId="0" applyNumberFormat="1" applyFill="1" applyBorder="1"/>
    <xf numFmtId="3" fontId="10" fillId="51" borderId="0" xfId="1" applyNumberFormat="1" applyFont="1" applyFill="1" applyBorder="1" applyAlignment="1" applyProtection="1">
      <alignment horizontal="left" indent="1"/>
    </xf>
    <xf numFmtId="3" fontId="10" fillId="51" borderId="0" xfId="77" applyNumberFormat="1" applyFont="1" applyFill="1" applyBorder="1" applyAlignment="1" applyProtection="1">
      <alignment horizontal="left" indent="1"/>
    </xf>
    <xf numFmtId="0" fontId="260" fillId="47" borderId="151" xfId="90" applyFont="1" applyFill="1" applyBorder="1" applyAlignment="1">
      <alignment horizontal="left"/>
    </xf>
    <xf numFmtId="0" fontId="259" fillId="47" borderId="152" xfId="0" applyFont="1" applyFill="1" applyBorder="1" applyAlignment="1">
      <alignment wrapText="1"/>
    </xf>
    <xf numFmtId="0" fontId="0" fillId="52" borderId="151" xfId="0" applyFill="1" applyBorder="1" applyAlignment="1">
      <alignment horizontal="center" wrapText="1"/>
    </xf>
    <xf numFmtId="0" fontId="0" fillId="52" borderId="152" xfId="0" applyFill="1" applyBorder="1"/>
    <xf numFmtId="0" fontId="244" fillId="46" borderId="0" xfId="48236" applyFont="1" applyFill="1" applyAlignment="1">
      <alignment horizontal="center" vertical="top" wrapText="1"/>
    </xf>
    <xf numFmtId="0" fontId="0" fillId="0" borderId="157" xfId="0" applyBorder="1"/>
    <xf numFmtId="0" fontId="0" fillId="0" borderId="89" xfId="0" applyBorder="1"/>
    <xf numFmtId="0" fontId="0" fillId="0" borderId="90" xfId="0" applyBorder="1"/>
    <xf numFmtId="0" fontId="274" fillId="135" borderId="0" xfId="51695" applyFont="1" applyFill="1"/>
    <xf numFmtId="0" fontId="0" fillId="101" borderId="0" xfId="0" applyFill="1"/>
    <xf numFmtId="0" fontId="8" fillId="53" borderId="154" xfId="0" applyFont="1" applyFill="1" applyBorder="1" applyAlignment="1">
      <alignment wrapText="1"/>
    </xf>
    <xf numFmtId="0" fontId="8" fillId="53" borderId="155" xfId="0" applyFont="1" applyFill="1" applyBorder="1" applyAlignment="1">
      <alignment wrapText="1"/>
    </xf>
    <xf numFmtId="14" fontId="8" fillId="53" borderId="154" xfId="0" applyNumberFormat="1" applyFont="1" applyFill="1" applyBorder="1" applyAlignment="1">
      <alignment wrapText="1"/>
    </xf>
    <xf numFmtId="353" fontId="8" fillId="53" borderId="154" xfId="77" applyNumberFormat="1" applyFont="1" applyFill="1" applyBorder="1" applyAlignment="1">
      <alignment wrapText="1"/>
    </xf>
    <xf numFmtId="0" fontId="8" fillId="53" borderId="158" xfId="0" applyFont="1" applyFill="1" applyBorder="1" applyAlignment="1">
      <alignment wrapText="1"/>
    </xf>
    <xf numFmtId="0" fontId="0" fillId="0" borderId="6" xfId="0" applyBorder="1" applyAlignment="1">
      <alignment vertical="center" wrapText="1"/>
    </xf>
    <xf numFmtId="15" fontId="244" fillId="46" borderId="156" xfId="48236" applyNumberFormat="1" applyFont="1" applyFill="1" applyBorder="1" applyAlignment="1">
      <alignment horizontal="center" vertical="top" wrapText="1"/>
    </xf>
    <xf numFmtId="0" fontId="244" fillId="46" borderId="156" xfId="48236" applyFont="1" applyFill="1" applyBorder="1" applyAlignment="1">
      <alignment vertical="top" wrapText="1"/>
    </xf>
    <xf numFmtId="0" fontId="244" fillId="46" borderId="156" xfId="48236" applyFont="1" applyFill="1" applyBorder="1" applyAlignment="1">
      <alignment horizontal="center" vertical="top" wrapText="1"/>
    </xf>
    <xf numFmtId="0" fontId="0" fillId="0" borderId="6" xfId="0" applyBorder="1" applyAlignment="1">
      <alignment horizontal="left" vertical="top" wrapText="1" indent="1"/>
    </xf>
    <xf numFmtId="0" fontId="0" fillId="0" borderId="6" xfId="0" applyBorder="1" applyAlignment="1">
      <alignment vertical="top" wrapText="1"/>
    </xf>
    <xf numFmtId="0" fontId="0" fillId="0" borderId="6" xfId="0" applyBorder="1" applyAlignment="1">
      <alignment vertical="top"/>
    </xf>
    <xf numFmtId="178" fontId="0" fillId="0" borderId="6" xfId="0" applyNumberFormat="1" applyBorder="1" applyAlignment="1">
      <alignment horizontal="center" vertical="center"/>
    </xf>
    <xf numFmtId="178" fontId="10" fillId="0" borderId="6" xfId="7" applyNumberFormat="1" applyFont="1" applyBorder="1" applyAlignment="1">
      <alignment horizontal="center" vertical="center"/>
    </xf>
    <xf numFmtId="178" fontId="0" fillId="0" borderId="119" xfId="0" applyNumberFormat="1" applyBorder="1" applyAlignment="1">
      <alignment horizontal="center" vertical="center"/>
    </xf>
    <xf numFmtId="0" fontId="247" fillId="0" borderId="0" xfId="0" applyFont="1" applyAlignment="1">
      <alignment horizontal="center" vertical="center"/>
    </xf>
    <xf numFmtId="3" fontId="10" fillId="0" borderId="6" xfId="89" applyNumberFormat="1" applyFont="1" applyBorder="1" applyAlignment="1">
      <alignment horizontal="left" indent="1"/>
    </xf>
    <xf numFmtId="0" fontId="11" fillId="0" borderId="6" xfId="7" applyFont="1" applyBorder="1" applyAlignment="1">
      <alignment horizontal="left" indent="1"/>
    </xf>
    <xf numFmtId="178" fontId="10" fillId="38" borderId="6" xfId="1" applyNumberFormat="1" applyFont="1" applyFill="1" applyBorder="1" applyAlignment="1">
      <alignment horizontal="right" vertical="center"/>
    </xf>
    <xf numFmtId="3" fontId="10" fillId="136" borderId="6" xfId="89" applyNumberFormat="1" applyFont="1" applyFill="1" applyBorder="1" applyAlignment="1">
      <alignment horizontal="left" indent="1"/>
    </xf>
    <xf numFmtId="184" fontId="10" fillId="136" borderId="6" xfId="89" applyNumberFormat="1" applyFont="1" applyFill="1" applyBorder="1" applyAlignment="1">
      <alignment horizontal="left" indent="1"/>
    </xf>
    <xf numFmtId="177" fontId="0" fillId="42" borderId="59" xfId="0" applyNumberFormat="1" applyFill="1" applyBorder="1" applyAlignment="1">
      <alignment horizontal="right" vertical="top"/>
    </xf>
    <xf numFmtId="169" fontId="0" fillId="0" borderId="0" xfId="0" applyNumberFormat="1"/>
    <xf numFmtId="0" fontId="272" fillId="0" borderId="0" xfId="0" applyFont="1"/>
    <xf numFmtId="0" fontId="272" fillId="0" borderId="0" xfId="0" applyFont="1" applyAlignment="1">
      <alignment horizontal="left" indent="1"/>
    </xf>
    <xf numFmtId="178" fontId="0" fillId="52" borderId="63" xfId="0" applyNumberFormat="1" applyFill="1" applyBorder="1" applyAlignment="1">
      <alignment horizontal="right" indent="1"/>
    </xf>
    <xf numFmtId="0" fontId="259" fillId="0" borderId="0" xfId="0" applyFont="1" applyAlignment="1">
      <alignment horizontal="left" indent="1"/>
    </xf>
    <xf numFmtId="0" fontId="25" fillId="0" borderId="0" xfId="75" applyFont="1" applyProtection="1">
      <protection locked="0"/>
    </xf>
    <xf numFmtId="0" fontId="25" fillId="0" borderId="0" xfId="75" applyFont="1" applyAlignment="1">
      <alignment horizontal="left" indent="1"/>
    </xf>
    <xf numFmtId="0" fontId="25" fillId="0" borderId="0" xfId="75" applyFont="1" applyAlignment="1">
      <alignment horizontal="left" vertical="center" indent="1"/>
    </xf>
    <xf numFmtId="0" fontId="10" fillId="0" borderId="0" xfId="7" applyFont="1" applyAlignment="1">
      <alignment horizontal="left" indent="1"/>
    </xf>
    <xf numFmtId="0" fontId="260" fillId="47" borderId="157" xfId="90" applyFont="1" applyFill="1" applyBorder="1" applyAlignment="1">
      <alignment horizontal="left"/>
    </xf>
    <xf numFmtId="0" fontId="0" fillId="52" borderId="157" xfId="0" applyFill="1" applyBorder="1" applyAlignment="1">
      <alignment horizontal="center" wrapText="1"/>
    </xf>
    <xf numFmtId="169" fontId="247" fillId="0" borderId="0" xfId="0" applyNumberFormat="1" applyFont="1"/>
    <xf numFmtId="0" fontId="259" fillId="47" borderId="116" xfId="0" applyFont="1" applyFill="1" applyBorder="1" applyAlignment="1">
      <alignment wrapText="1"/>
    </xf>
    <xf numFmtId="0" fontId="0" fillId="52" borderId="116" xfId="0" applyFill="1" applyBorder="1"/>
    <xf numFmtId="0" fontId="0" fillId="0" borderId="116" xfId="0" applyBorder="1" applyAlignment="1" applyProtection="1">
      <alignment horizontal="center" vertical="center"/>
      <protection locked="0"/>
    </xf>
    <xf numFmtId="0" fontId="260" fillId="47" borderId="151" xfId="90" applyFont="1" applyFill="1" applyBorder="1" applyAlignment="1" applyProtection="1">
      <alignment horizontal="left"/>
      <protection locked="0"/>
    </xf>
    <xf numFmtId="0" fontId="260" fillId="47" borderId="116" xfId="90" applyFont="1" applyFill="1" applyBorder="1" applyAlignment="1" applyProtection="1">
      <alignment horizontal="left" indent="1"/>
      <protection locked="0"/>
    </xf>
    <xf numFmtId="0" fontId="260" fillId="47" borderId="116" xfId="90" applyFont="1" applyFill="1" applyBorder="1" applyAlignment="1" applyProtection="1">
      <alignment horizontal="left"/>
      <protection locked="0"/>
    </xf>
    <xf numFmtId="0" fontId="30" fillId="47" borderId="116" xfId="90" applyFont="1" applyFill="1" applyBorder="1" applyAlignment="1" applyProtection="1">
      <alignment horizontal="left"/>
      <protection locked="0"/>
    </xf>
    <xf numFmtId="0" fontId="32" fillId="47" borderId="116" xfId="75" applyFont="1" applyFill="1" applyBorder="1" applyProtection="1">
      <protection locked="0"/>
    </xf>
    <xf numFmtId="0" fontId="260" fillId="47" borderId="157" xfId="90" applyFont="1" applyFill="1" applyBorder="1" applyAlignment="1" applyProtection="1">
      <alignment horizontal="left"/>
      <protection locked="0"/>
    </xf>
    <xf numFmtId="0" fontId="260" fillId="47" borderId="0" xfId="90" applyFont="1" applyFill="1" applyAlignment="1" applyProtection="1">
      <alignment horizontal="left" indent="1"/>
      <protection locked="0"/>
    </xf>
    <xf numFmtId="0" fontId="260" fillId="47" borderId="0" xfId="90" applyFont="1" applyFill="1" applyAlignment="1" applyProtection="1">
      <alignment horizontal="left"/>
      <protection locked="0"/>
    </xf>
    <xf numFmtId="0" fontId="30" fillId="47" borderId="0" xfId="90" applyFont="1" applyFill="1" applyAlignment="1" applyProtection="1">
      <alignment horizontal="left"/>
      <protection locked="0"/>
    </xf>
    <xf numFmtId="0" fontId="32" fillId="47" borderId="0" xfId="75" applyFont="1" applyFill="1" applyProtection="1">
      <protection locked="0"/>
    </xf>
    <xf numFmtId="0" fontId="32" fillId="47" borderId="11" xfId="75" applyFont="1" applyFill="1" applyBorder="1" applyProtection="1">
      <protection locked="0"/>
    </xf>
    <xf numFmtId="0" fontId="30" fillId="47" borderId="127" xfId="90" applyFont="1" applyFill="1" applyBorder="1" applyAlignment="1" applyProtection="1">
      <alignment horizontal="left"/>
      <protection locked="0"/>
    </xf>
    <xf numFmtId="0" fontId="32" fillId="47" borderId="127" xfId="75" applyFont="1" applyFill="1" applyBorder="1" applyProtection="1">
      <protection locked="0"/>
    </xf>
    <xf numFmtId="0" fontId="32" fillId="47" borderId="90" xfId="75" applyFont="1" applyFill="1" applyBorder="1" applyProtection="1">
      <protection locked="0"/>
    </xf>
    <xf numFmtId="0" fontId="0" fillId="0" borderId="71" xfId="0" applyBorder="1" applyAlignment="1" applyProtection="1">
      <alignment horizontal="center" vertical="top"/>
      <protection locked="0"/>
    </xf>
    <xf numFmtId="0" fontId="0" fillId="0" borderId="0" xfId="0" applyAlignment="1" applyProtection="1">
      <alignment horizontal="left" vertical="top"/>
      <protection locked="0"/>
    </xf>
    <xf numFmtId="0" fontId="8" fillId="2" borderId="71" xfId="0" applyFont="1" applyFill="1" applyBorder="1" applyAlignment="1" applyProtection="1">
      <alignment horizontal="center" vertical="center"/>
      <protection locked="0"/>
    </xf>
    <xf numFmtId="0" fontId="0" fillId="0" borderId="0" xfId="0" applyAlignment="1" applyProtection="1">
      <alignment vertical="center"/>
      <protection locked="0"/>
    </xf>
    <xf numFmtId="1" fontId="8" fillId="2" borderId="59" xfId="0" applyNumberFormat="1" applyFont="1" applyFill="1" applyBorder="1" applyAlignment="1" applyProtection="1">
      <alignment horizontal="center" vertical="center" wrapText="1"/>
      <protection locked="0"/>
    </xf>
    <xf numFmtId="1" fontId="8" fillId="2" borderId="59" xfId="0" applyNumberFormat="1" applyFont="1" applyFill="1" applyBorder="1" applyAlignment="1" applyProtection="1">
      <alignment horizontal="center" vertical="center"/>
      <protection locked="0"/>
    </xf>
    <xf numFmtId="0" fontId="0" fillId="53" borderId="0" xfId="0" applyFill="1" applyProtection="1">
      <protection locked="0"/>
    </xf>
    <xf numFmtId="0" fontId="0" fillId="0" borderId="0" xfId="0" applyAlignment="1" applyProtection="1">
      <alignment horizontal="right" vertical="top" indent="1"/>
      <protection locked="0"/>
    </xf>
    <xf numFmtId="0" fontId="29" fillId="0" borderId="0" xfId="0" applyFont="1" applyProtection="1">
      <protection locked="0"/>
    </xf>
    <xf numFmtId="0" fontId="0" fillId="51" borderId="0" xfId="0" applyFill="1" applyAlignment="1" applyProtection="1">
      <alignment horizontal="left" indent="1"/>
      <protection locked="0"/>
    </xf>
    <xf numFmtId="0" fontId="260" fillId="47" borderId="116" xfId="90" applyFont="1" applyFill="1" applyBorder="1" applyAlignment="1">
      <alignment horizontal="left" indent="1"/>
    </xf>
    <xf numFmtId="0" fontId="260" fillId="47" borderId="116" xfId="90" applyFont="1" applyFill="1" applyBorder="1" applyAlignment="1">
      <alignment horizontal="left"/>
    </xf>
    <xf numFmtId="0" fontId="30" fillId="47" borderId="116" xfId="90" applyFont="1" applyFill="1" applyBorder="1" applyAlignment="1">
      <alignment horizontal="left"/>
    </xf>
    <xf numFmtId="0" fontId="32" fillId="47" borderId="116" xfId="75" applyFont="1" applyFill="1" applyBorder="1"/>
    <xf numFmtId="0" fontId="31" fillId="47" borderId="152" xfId="75" applyFont="1" applyFill="1" applyBorder="1"/>
    <xf numFmtId="0" fontId="260" fillId="47" borderId="0" xfId="90" applyFont="1" applyFill="1" applyAlignment="1">
      <alignment horizontal="left" indent="1"/>
    </xf>
    <xf numFmtId="0" fontId="32" fillId="47" borderId="0" xfId="75" applyFont="1" applyFill="1"/>
    <xf numFmtId="0" fontId="32" fillId="47" borderId="11" xfId="75" applyFont="1" applyFill="1" applyBorder="1"/>
    <xf numFmtId="0" fontId="30" fillId="47" borderId="127" xfId="90" applyFont="1" applyFill="1" applyBorder="1" applyAlignment="1">
      <alignment horizontal="left"/>
    </xf>
    <xf numFmtId="0" fontId="32" fillId="47" borderId="127" xfId="75" applyFont="1" applyFill="1" applyBorder="1"/>
    <xf numFmtId="0" fontId="32" fillId="47" borderId="90" xfId="75" applyFont="1" applyFill="1" applyBorder="1"/>
    <xf numFmtId="0" fontId="0" fillId="0" borderId="71" xfId="0" applyBorder="1" applyAlignment="1">
      <alignment horizontal="center" vertical="top"/>
    </xf>
    <xf numFmtId="0" fontId="0" fillId="0" borderId="0" xfId="0" applyAlignment="1">
      <alignment horizontal="left" vertical="top"/>
    </xf>
    <xf numFmtId="1" fontId="0" fillId="0" borderId="0" xfId="0" applyNumberFormat="1" applyAlignment="1">
      <alignment horizontal="right"/>
    </xf>
    <xf numFmtId="0" fontId="8" fillId="2" borderId="71" xfId="0" applyFont="1" applyFill="1" applyBorder="1" applyAlignment="1">
      <alignment horizontal="center" vertical="center"/>
    </xf>
    <xf numFmtId="1" fontId="8" fillId="2" borderId="59" xfId="0" applyNumberFormat="1" applyFont="1" applyFill="1" applyBorder="1" applyAlignment="1">
      <alignment horizontal="center" vertical="center" wrapText="1"/>
    </xf>
    <xf numFmtId="1" fontId="8" fillId="2" borderId="61" xfId="0" applyNumberFormat="1" applyFont="1" applyFill="1" applyBorder="1" applyAlignment="1">
      <alignment horizontal="center" vertical="center" wrapText="1"/>
    </xf>
    <xf numFmtId="1" fontId="8" fillId="2" borderId="59" xfId="0" applyNumberFormat="1" applyFont="1" applyFill="1" applyBorder="1" applyAlignment="1">
      <alignment horizontal="center" vertical="center"/>
    </xf>
    <xf numFmtId="0" fontId="8" fillId="53" borderId="0" xfId="0" applyFont="1" applyFill="1" applyAlignment="1">
      <alignment horizontal="left" vertical="center" indent="1"/>
    </xf>
    <xf numFmtId="0" fontId="0" fillId="53" borderId="0" xfId="0" applyFill="1" applyAlignment="1">
      <alignment vertical="center"/>
    </xf>
    <xf numFmtId="0" fontId="8" fillId="0" borderId="0" xfId="0" applyFont="1" applyAlignment="1">
      <alignment horizontal="left" vertical="center" indent="1"/>
    </xf>
    <xf numFmtId="175" fontId="0" fillId="0" borderId="0" xfId="0" applyNumberFormat="1"/>
    <xf numFmtId="0" fontId="0" fillId="0" borderId="0" xfId="0" applyAlignment="1">
      <alignment horizontal="right" vertical="top" indent="1"/>
    </xf>
    <xf numFmtId="175" fontId="10" fillId="38" borderId="121" xfId="77" applyNumberFormat="1" applyFont="1" applyFill="1" applyBorder="1" applyProtection="1"/>
    <xf numFmtId="175" fontId="8" fillId="0" borderId="0" xfId="0" applyNumberFormat="1" applyFont="1"/>
    <xf numFmtId="175" fontId="10" fillId="38" borderId="76" xfId="77" applyNumberFormat="1" applyFont="1" applyFill="1" applyBorder="1" applyProtection="1"/>
    <xf numFmtId="0" fontId="29" fillId="0" borderId="0" xfId="0" applyFont="1"/>
    <xf numFmtId="175" fontId="8" fillId="53" borderId="0" xfId="0" applyNumberFormat="1" applyFont="1" applyFill="1"/>
    <xf numFmtId="0" fontId="0" fillId="51" borderId="0" xfId="0" applyFill="1" applyAlignment="1">
      <alignment horizontal="left" indent="1"/>
    </xf>
    <xf numFmtId="1" fontId="0" fillId="51" borderId="11" xfId="0" applyNumberFormat="1" applyFill="1" applyBorder="1" applyAlignment="1">
      <alignment horizontal="center"/>
    </xf>
    <xf numFmtId="0" fontId="10" fillId="0" borderId="0" xfId="1" applyNumberFormat="1" applyFont="1" applyAlignment="1" applyProtection="1">
      <alignment horizontal="left" indent="1"/>
    </xf>
    <xf numFmtId="0" fontId="8" fillId="51" borderId="0" xfId="0" applyFont="1" applyFill="1" applyAlignment="1">
      <alignment horizontal="left" indent="1"/>
    </xf>
    <xf numFmtId="1" fontId="0" fillId="51" borderId="0" xfId="0" applyNumberFormat="1" applyFill="1" applyAlignment="1">
      <alignment horizontal="center"/>
    </xf>
    <xf numFmtId="0" fontId="10" fillId="51" borderId="0" xfId="0" applyFont="1" applyFill="1" applyAlignment="1">
      <alignment horizontal="left" indent="1"/>
    </xf>
    <xf numFmtId="0" fontId="259" fillId="47" borderId="116" xfId="0" applyFont="1" applyFill="1" applyBorder="1" applyAlignment="1" applyProtection="1">
      <alignment horizontal="left" indent="1"/>
      <protection locked="0"/>
    </xf>
    <xf numFmtId="0" fontId="0" fillId="47" borderId="116" xfId="0" applyFill="1" applyBorder="1" applyAlignment="1" applyProtection="1">
      <alignment horizontal="center" vertical="center"/>
      <protection locked="0"/>
    </xf>
    <xf numFmtId="0" fontId="0" fillId="47" borderId="116" xfId="0" applyFill="1" applyBorder="1" applyProtection="1">
      <protection locked="0"/>
    </xf>
    <xf numFmtId="0" fontId="0" fillId="47" borderId="152" xfId="0" applyFill="1" applyBorder="1" applyProtection="1">
      <protection locked="0"/>
    </xf>
    <xf numFmtId="0" fontId="30" fillId="47" borderId="0" xfId="90" applyFont="1" applyFill="1" applyAlignment="1" applyProtection="1">
      <alignment horizontal="center" vertical="center"/>
      <protection locked="0"/>
    </xf>
    <xf numFmtId="0" fontId="260" fillId="47" borderId="127" xfId="90" applyFont="1" applyFill="1" applyBorder="1" applyAlignment="1" applyProtection="1">
      <alignment horizontal="left" indent="1"/>
      <protection locked="0"/>
    </xf>
    <xf numFmtId="0" fontId="30" fillId="47" borderId="127" xfId="90" applyFont="1" applyFill="1" applyBorder="1" applyAlignment="1" applyProtection="1">
      <alignment horizontal="center" vertical="center"/>
      <protection locked="0"/>
    </xf>
    <xf numFmtId="0" fontId="0" fillId="0" borderId="0" xfId="0" applyAlignment="1" applyProtection="1">
      <alignment horizontal="left" vertical="top" indent="1"/>
      <protection locked="0"/>
    </xf>
    <xf numFmtId="178" fontId="8" fillId="0" borderId="0" xfId="0" applyNumberFormat="1" applyFont="1" applyAlignment="1" applyProtection="1">
      <alignment horizontal="center"/>
      <protection locked="0"/>
    </xf>
    <xf numFmtId="0" fontId="8" fillId="53" borderId="0" xfId="0" applyFont="1" applyFill="1" applyAlignment="1" applyProtection="1">
      <alignment horizontal="left" vertical="top" indent="1"/>
      <protection locked="0"/>
    </xf>
    <xf numFmtId="0" fontId="0" fillId="53" borderId="0" xfId="0" applyFill="1" applyAlignment="1" applyProtection="1">
      <alignment horizontal="center" vertical="center"/>
      <protection locked="0"/>
    </xf>
    <xf numFmtId="0" fontId="0" fillId="53" borderId="0" xfId="0" applyFill="1" applyAlignment="1" applyProtection="1">
      <alignment horizontal="left" vertical="top"/>
      <protection locked="0"/>
    </xf>
    <xf numFmtId="0" fontId="0" fillId="53" borderId="0" xfId="0" applyFill="1" applyAlignment="1" applyProtection="1">
      <alignment horizontal="center" vertical="top"/>
      <protection locked="0"/>
    </xf>
    <xf numFmtId="0" fontId="11" fillId="0" borderId="0" xfId="0" applyFont="1" applyAlignment="1" applyProtection="1">
      <alignment horizontal="left" vertical="top" indent="1"/>
      <protection locked="0"/>
    </xf>
    <xf numFmtId="0" fontId="8" fillId="0" borderId="0" xfId="0" applyFont="1" applyAlignment="1" applyProtection="1">
      <alignment horizontal="left" vertical="top" indent="1"/>
      <protection locked="0"/>
    </xf>
    <xf numFmtId="177" fontId="0" fillId="131" borderId="59" xfId="0" applyNumberFormat="1" applyFill="1" applyBorder="1" applyAlignment="1" applyProtection="1">
      <alignment horizontal="right" vertical="top"/>
      <protection locked="0"/>
    </xf>
    <xf numFmtId="178" fontId="0" fillId="0" borderId="0" xfId="0" applyNumberFormat="1" applyAlignment="1" applyProtection="1">
      <alignment horizontal="right"/>
      <protection locked="0"/>
    </xf>
    <xf numFmtId="178" fontId="8" fillId="0" borderId="0" xfId="0" applyNumberFormat="1" applyFont="1" applyAlignment="1" applyProtection="1">
      <alignment horizontal="right"/>
      <protection locked="0"/>
    </xf>
    <xf numFmtId="0" fontId="10" fillId="3" borderId="0" xfId="0" applyFont="1" applyFill="1" applyAlignment="1" applyProtection="1">
      <alignment horizontal="left" vertical="center" indent="1"/>
      <protection locked="0"/>
    </xf>
    <xf numFmtId="177" fontId="0" fillId="3" borderId="59"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177" fontId="0" fillId="3" borderId="0" xfId="0" applyNumberFormat="1" applyFill="1" applyAlignment="1" applyProtection="1">
      <alignment horizontal="left" vertical="top"/>
      <protection locked="0"/>
    </xf>
    <xf numFmtId="0" fontId="268" fillId="0" borderId="0" xfId="0" applyFont="1" applyProtection="1">
      <protection locked="0"/>
    </xf>
    <xf numFmtId="1" fontId="8" fillId="0" borderId="0" xfId="0" applyNumberFormat="1" applyFont="1" applyAlignment="1" applyProtection="1">
      <alignment horizontal="right"/>
      <protection locked="0"/>
    </xf>
    <xf numFmtId="0" fontId="10" fillId="42" borderId="0" xfId="0" applyFont="1" applyFill="1" applyAlignment="1" applyProtection="1">
      <alignment horizontal="left" vertical="center" indent="1"/>
      <protection locked="0"/>
    </xf>
    <xf numFmtId="0" fontId="10" fillId="0" borderId="0" xfId="0" applyFont="1" applyAlignment="1" applyProtection="1">
      <alignment horizontal="left" vertical="center" indent="1"/>
      <protection locked="0"/>
    </xf>
    <xf numFmtId="1" fontId="8" fillId="0" borderId="0" xfId="0" applyNumberFormat="1" applyFont="1" applyAlignment="1" applyProtection="1">
      <alignment horizontal="center"/>
      <protection locked="0"/>
    </xf>
    <xf numFmtId="170" fontId="0" fillId="0" borderId="0" xfId="1" applyNumberFormat="1" applyFont="1" applyFill="1" applyBorder="1" applyAlignment="1" applyProtection="1">
      <alignment horizontal="right" vertical="top"/>
      <protection locked="0"/>
    </xf>
    <xf numFmtId="0" fontId="27" fillId="0" borderId="0" xfId="0" applyFont="1" applyAlignment="1" applyProtection="1">
      <alignment horizontal="left"/>
      <protection locked="0"/>
    </xf>
    <xf numFmtId="0" fontId="26" fillId="0" borderId="0" xfId="0" applyFont="1" applyProtection="1">
      <protection locked="0"/>
    </xf>
    <xf numFmtId="0" fontId="10" fillId="0" borderId="0" xfId="0" applyFont="1" applyProtection="1">
      <protection locked="0"/>
    </xf>
    <xf numFmtId="170" fontId="0" fillId="3" borderId="59" xfId="1" applyNumberFormat="1" applyFont="1" applyFill="1" applyBorder="1" applyAlignment="1" applyProtection="1">
      <alignment horizontal="right" vertical="top"/>
      <protection locked="0"/>
    </xf>
    <xf numFmtId="0" fontId="29" fillId="0" borderId="151" xfId="0" applyFont="1" applyBorder="1" applyProtection="1">
      <protection locked="0"/>
    </xf>
    <xf numFmtId="0" fontId="0" fillId="0" borderId="116" xfId="0" applyBorder="1" applyAlignment="1" applyProtection="1">
      <alignment horizontal="left" indent="1"/>
      <protection locked="0"/>
    </xf>
    <xf numFmtId="0" fontId="0" fillId="0" borderId="157" xfId="0" applyBorder="1" applyProtection="1">
      <protection locked="0"/>
    </xf>
    <xf numFmtId="170" fontId="11" fillId="0" borderId="0" xfId="1" applyNumberFormat="1" applyFont="1" applyFill="1" applyBorder="1" applyProtection="1">
      <protection locked="0"/>
    </xf>
    <xf numFmtId="170" fontId="11" fillId="0" borderId="11" xfId="1" applyNumberFormat="1" applyFont="1" applyFill="1" applyBorder="1" applyProtection="1">
      <protection locked="0"/>
    </xf>
    <xf numFmtId="0" fontId="29" fillId="0" borderId="157" xfId="0" applyFont="1" applyBorder="1" applyProtection="1">
      <protection locked="0"/>
    </xf>
    <xf numFmtId="0" fontId="0" fillId="0" borderId="157" xfId="0" applyBorder="1" applyAlignment="1" applyProtection="1">
      <alignment horizontal="left" vertical="top"/>
      <protection locked="0"/>
    </xf>
    <xf numFmtId="0" fontId="26" fillId="0" borderId="157" xfId="0" applyFont="1" applyBorder="1" applyProtection="1">
      <protection locked="0"/>
    </xf>
    <xf numFmtId="0" fontId="8" fillId="0" borderId="157" xfId="0" applyFont="1" applyBorder="1" applyProtection="1">
      <protection locked="0"/>
    </xf>
    <xf numFmtId="0" fontId="269" fillId="0" borderId="157" xfId="0" applyFont="1" applyBorder="1" applyProtection="1">
      <protection locked="0"/>
    </xf>
    <xf numFmtId="0" fontId="8" fillId="0" borderId="157" xfId="0" applyFont="1" applyBorder="1" applyAlignment="1" applyProtection="1">
      <alignment horizontal="left" vertical="top"/>
      <protection locked="0"/>
    </xf>
    <xf numFmtId="0" fontId="0" fillId="0" borderId="11" xfId="0" applyBorder="1" applyProtection="1">
      <protection locked="0"/>
    </xf>
    <xf numFmtId="0" fontId="8" fillId="0" borderId="89" xfId="0" applyFont="1" applyBorder="1" applyProtection="1">
      <protection locked="0"/>
    </xf>
    <xf numFmtId="0" fontId="0" fillId="0" borderId="127" xfId="0" applyBorder="1" applyAlignment="1" applyProtection="1">
      <alignment horizontal="left" indent="1"/>
      <protection locked="0"/>
    </xf>
    <xf numFmtId="0" fontId="0" fillId="0" borderId="0" xfId="0" quotePrefix="1" applyProtection="1">
      <protection locked="0"/>
    </xf>
    <xf numFmtId="0" fontId="8" fillId="0" borderId="0" xfId="0" applyFont="1" applyProtection="1">
      <protection locked="0"/>
    </xf>
    <xf numFmtId="0" fontId="0" fillId="3" borderId="116" xfId="0" applyFill="1" applyBorder="1" applyProtection="1">
      <protection locked="0"/>
    </xf>
    <xf numFmtId="0" fontId="0" fillId="3" borderId="152" xfId="0" applyFill="1" applyBorder="1" applyProtection="1">
      <protection locked="0"/>
    </xf>
    <xf numFmtId="0" fontId="0" fillId="3" borderId="157"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vertical="center"/>
      <protection locked="0"/>
    </xf>
    <xf numFmtId="0" fontId="0" fillId="3" borderId="0" xfId="0" applyFill="1" applyProtection="1">
      <protection locked="0"/>
    </xf>
    <xf numFmtId="0" fontId="0" fillId="3" borderId="11" xfId="0" applyFill="1" applyBorder="1" applyProtection="1">
      <protection locked="0"/>
    </xf>
    <xf numFmtId="0" fontId="0" fillId="3" borderId="89" xfId="0" applyFill="1" applyBorder="1" applyAlignment="1" applyProtection="1">
      <alignment horizontal="left" indent="1"/>
      <protection locked="0"/>
    </xf>
    <xf numFmtId="0" fontId="0" fillId="3" borderId="127" xfId="0" applyFill="1" applyBorder="1" applyAlignment="1" applyProtection="1">
      <alignment horizontal="left" indent="1"/>
      <protection locked="0"/>
    </xf>
    <xf numFmtId="0" fontId="0" fillId="3" borderId="127" xfId="0" applyFill="1" applyBorder="1" applyAlignment="1" applyProtection="1">
      <alignment horizontal="center" vertical="center"/>
      <protection locked="0"/>
    </xf>
    <xf numFmtId="0" fontId="0" fillId="3" borderId="127" xfId="0" applyFill="1" applyBorder="1" applyProtection="1">
      <protection locked="0"/>
    </xf>
    <xf numFmtId="0" fontId="0" fillId="3" borderId="90" xfId="0" applyFill="1" applyBorder="1" applyProtection="1">
      <protection locked="0"/>
    </xf>
    <xf numFmtId="177" fontId="8" fillId="52" borderId="71" xfId="0" applyNumberFormat="1" applyFont="1" applyFill="1" applyBorder="1" applyAlignment="1">
      <alignment horizontal="right"/>
    </xf>
    <xf numFmtId="177" fontId="0" fillId="52" borderId="59" xfId="0" applyNumberFormat="1" applyFill="1" applyBorder="1" applyAlignment="1">
      <alignment horizontal="right" vertical="top"/>
    </xf>
    <xf numFmtId="178" fontId="0" fillId="54" borderId="71" xfId="0" applyNumberFormat="1" applyFill="1" applyBorder="1" applyAlignment="1">
      <alignment horizontal="right"/>
    </xf>
    <xf numFmtId="170" fontId="8" fillId="51" borderId="59" xfId="1" applyNumberFormat="1" applyFont="1" applyFill="1" applyBorder="1" applyAlignment="1" applyProtection="1">
      <alignment horizontal="right" vertical="top"/>
    </xf>
    <xf numFmtId="170" fontId="10" fillId="51" borderId="6" xfId="1" applyNumberFormat="1" applyFont="1" applyFill="1" applyBorder="1" applyProtection="1"/>
    <xf numFmtId="170" fontId="0" fillId="51" borderId="59" xfId="1" applyNumberFormat="1" applyFont="1" applyFill="1" applyBorder="1" applyAlignment="1" applyProtection="1">
      <alignment horizontal="right" vertical="top"/>
    </xf>
    <xf numFmtId="0" fontId="10" fillId="54" borderId="6" xfId="75" applyFont="1" applyFill="1" applyBorder="1" applyAlignment="1">
      <alignment horizontal="center" vertical="center"/>
    </xf>
    <xf numFmtId="351" fontId="0" fillId="52" borderId="6" xfId="0" applyNumberFormat="1" applyFill="1" applyBorder="1"/>
    <xf numFmtId="170" fontId="10" fillId="38" borderId="6" xfId="1" applyNumberFormat="1" applyFont="1" applyFill="1" applyBorder="1" applyProtection="1"/>
    <xf numFmtId="170" fontId="11" fillId="38" borderId="6" xfId="1" applyNumberFormat="1" applyFont="1" applyFill="1" applyBorder="1" applyProtection="1"/>
    <xf numFmtId="177" fontId="0" fillId="51" borderId="59" xfId="0" applyNumberFormat="1" applyFill="1" applyBorder="1" applyAlignment="1">
      <alignment horizontal="right" vertical="top"/>
    </xf>
    <xf numFmtId="170" fontId="11" fillId="38" borderId="11" xfId="1" applyNumberFormat="1" applyFont="1" applyFill="1" applyBorder="1" applyProtection="1"/>
    <xf numFmtId="170" fontId="11" fillId="52" borderId="6" xfId="1" applyNumberFormat="1" applyFont="1" applyFill="1" applyBorder="1" applyProtection="1"/>
    <xf numFmtId="0" fontId="30" fillId="47" borderId="116" xfId="90" applyFont="1" applyFill="1" applyBorder="1" applyAlignment="1" applyProtection="1">
      <alignment horizontal="center" vertical="center"/>
      <protection locked="0"/>
    </xf>
    <xf numFmtId="0" fontId="32" fillId="47" borderId="152" xfId="75" applyFont="1" applyFill="1" applyBorder="1" applyProtection="1">
      <protection locked="0"/>
    </xf>
    <xf numFmtId="1" fontId="8" fillId="2" borderId="71" xfId="0" applyNumberFormat="1" applyFont="1" applyFill="1" applyBorder="1" applyAlignment="1" applyProtection="1">
      <alignment horizontal="center" vertical="center"/>
      <protection locked="0"/>
    </xf>
    <xf numFmtId="1" fontId="8" fillId="2" borderId="72" xfId="0" applyNumberFormat="1" applyFont="1" applyFill="1" applyBorder="1" applyAlignment="1" applyProtection="1">
      <alignment horizontal="center" vertical="center"/>
      <protection locked="0"/>
    </xf>
    <xf numFmtId="1" fontId="8" fillId="2" borderId="73" xfId="0" applyNumberFormat="1" applyFont="1" applyFill="1" applyBorder="1" applyAlignment="1" applyProtection="1">
      <alignment horizontal="center" wrapText="1"/>
      <protection locked="0"/>
    </xf>
    <xf numFmtId="0" fontId="8" fillId="116" borderId="0" xfId="0" applyFont="1" applyFill="1" applyAlignment="1" applyProtection="1">
      <alignment horizontal="left" vertical="center"/>
      <protection locked="0"/>
    </xf>
    <xf numFmtId="0" fontId="0" fillId="116" borderId="0" xfId="0" applyFill="1" applyAlignment="1" applyProtection="1">
      <alignment horizontal="center" vertical="center"/>
      <protection locked="0"/>
    </xf>
    <xf numFmtId="0" fontId="0" fillId="116" borderId="0" xfId="0" applyFill="1" applyAlignment="1" applyProtection="1">
      <alignment horizontal="center" vertical="top"/>
      <protection locked="0"/>
    </xf>
    <xf numFmtId="0" fontId="269" fillId="116" borderId="0" xfId="0" applyFont="1" applyFill="1" applyAlignment="1" applyProtection="1">
      <alignment horizontal="left" vertical="top"/>
      <protection locked="0"/>
    </xf>
    <xf numFmtId="0" fontId="0" fillId="116" borderId="0" xfId="0" applyFill="1" applyAlignment="1" applyProtection="1">
      <alignment horizontal="left" vertical="top" indent="1"/>
      <protection locked="0"/>
    </xf>
    <xf numFmtId="0" fontId="8" fillId="52" borderId="0" xfId="0" applyFont="1" applyFill="1" applyAlignment="1" applyProtection="1">
      <alignment horizontal="left" vertical="top" indent="1"/>
      <protection locked="0"/>
    </xf>
    <xf numFmtId="0" fontId="0" fillId="133" borderId="0" xfId="0" applyFill="1"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wrapText="1"/>
      <protection locked="0"/>
    </xf>
    <xf numFmtId="177" fontId="0" fillId="131" borderId="63" xfId="0" applyNumberFormat="1" applyFill="1" applyBorder="1" applyAlignment="1" applyProtection="1">
      <alignment horizontal="right" vertical="top"/>
      <protection locked="0"/>
    </xf>
    <xf numFmtId="0" fontId="0" fillId="0" borderId="0" xfId="0" applyAlignment="1" applyProtection="1">
      <alignment horizontal="left" vertical="top" wrapText="1" indent="1"/>
      <protection locked="0"/>
    </xf>
    <xf numFmtId="170" fontId="0" fillId="0" borderId="0" xfId="0" applyNumberFormat="1" applyAlignment="1" applyProtection="1">
      <alignment horizontal="left" vertical="top"/>
      <protection locked="0"/>
    </xf>
    <xf numFmtId="0" fontId="0" fillId="0" borderId="0" xfId="0" applyAlignment="1" applyProtection="1">
      <alignment horizontal="center" wrapText="1"/>
      <protection locked="0"/>
    </xf>
    <xf numFmtId="0" fontId="42" fillId="0" borderId="0" xfId="0" applyFont="1" applyAlignment="1" applyProtection="1">
      <alignment horizontal="center"/>
      <protection locked="0"/>
    </xf>
    <xf numFmtId="10" fontId="0" fillId="0" borderId="0" xfId="0" applyNumberFormat="1" applyAlignment="1" applyProtection="1">
      <alignment horizontal="right" vertical="top"/>
      <protection locked="0"/>
    </xf>
    <xf numFmtId="177" fontId="0" fillId="3" borderId="63" xfId="0" applyNumberFormat="1" applyFill="1" applyBorder="1" applyAlignment="1" applyProtection="1">
      <alignment horizontal="right" vertical="top"/>
      <protection locked="0"/>
    </xf>
    <xf numFmtId="0" fontId="8" fillId="0" borderId="0" xfId="0" applyFont="1" applyAlignment="1" applyProtection="1">
      <alignment horizontal="center" vertical="center" wrapText="1"/>
      <protection locked="0"/>
    </xf>
    <xf numFmtId="0" fontId="8" fillId="133" borderId="0" xfId="0" applyFont="1" applyFill="1" applyAlignment="1" applyProtection="1">
      <alignment horizontal="left" vertical="top" indent="1"/>
      <protection locked="0"/>
    </xf>
    <xf numFmtId="0" fontId="0" fillId="0" borderId="0" xfId="0" applyAlignment="1" applyProtection="1">
      <alignment horizontal="center" vertical="top" wrapText="1"/>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72" xfId="0" applyBorder="1" applyAlignment="1" applyProtection="1">
      <alignment horizontal="center" vertical="top"/>
      <protection locked="0"/>
    </xf>
    <xf numFmtId="0" fontId="8" fillId="0" borderId="0" xfId="0" applyFont="1" applyAlignment="1" applyProtection="1">
      <alignment horizontal="left" vertical="top"/>
      <protection locked="0"/>
    </xf>
    <xf numFmtId="177" fontId="0" fillId="3" borderId="66" xfId="0" applyNumberFormat="1" applyFill="1" applyBorder="1" applyAlignment="1" applyProtection="1">
      <alignment horizontal="right" vertical="top"/>
      <protection locked="0"/>
    </xf>
    <xf numFmtId="177" fontId="0" fillId="3" borderId="60" xfId="0" applyNumberFormat="1" applyFill="1" applyBorder="1" applyAlignment="1" applyProtection="1">
      <alignment horizontal="right" vertical="top"/>
      <protection locked="0"/>
    </xf>
    <xf numFmtId="177" fontId="0" fillId="3" borderId="69" xfId="0" applyNumberFormat="1" applyFill="1" applyBorder="1" applyAlignment="1" applyProtection="1">
      <alignment horizontal="right" vertical="top"/>
      <protection locked="0"/>
    </xf>
    <xf numFmtId="0" fontId="0" fillId="0" borderId="0" xfId="0" applyAlignment="1" applyProtection="1">
      <alignment horizontal="left"/>
      <protection locked="0"/>
    </xf>
    <xf numFmtId="177" fontId="0" fillId="3" borderId="61" xfId="0" applyNumberFormat="1" applyFill="1" applyBorder="1" applyAlignment="1" applyProtection="1">
      <alignment horizontal="right" vertical="top"/>
      <protection locked="0"/>
    </xf>
    <xf numFmtId="177" fontId="0" fillId="3" borderId="64" xfId="0" applyNumberFormat="1" applyFill="1" applyBorder="1" applyAlignment="1" applyProtection="1">
      <alignment horizontal="right" vertical="top"/>
      <protection locked="0"/>
    </xf>
    <xf numFmtId="177" fontId="0" fillId="3" borderId="67" xfId="0" applyNumberFormat="1" applyFill="1" applyBorder="1" applyAlignment="1" applyProtection="1">
      <alignment horizontal="right" vertical="top"/>
      <protection locked="0"/>
    </xf>
    <xf numFmtId="0" fontId="8" fillId="0" borderId="0" xfId="0" applyFont="1" applyAlignment="1" applyProtection="1">
      <alignment horizontal="left"/>
      <protection locked="0"/>
    </xf>
    <xf numFmtId="178" fontId="0" fillId="0" borderId="0" xfId="0" applyNumberFormat="1" applyAlignment="1" applyProtection="1">
      <alignment horizontal="right" vertical="top"/>
      <protection locked="0"/>
    </xf>
    <xf numFmtId="0" fontId="26" fillId="0" borderId="0" xfId="0" applyFont="1" applyAlignment="1" applyProtection="1">
      <alignment horizontal="left" vertical="top"/>
      <protection locked="0"/>
    </xf>
    <xf numFmtId="177" fontId="0" fillId="3" borderId="6" xfId="0" applyNumberFormat="1" applyFill="1" applyBorder="1" applyAlignment="1" applyProtection="1">
      <alignment horizontal="right" vertical="top"/>
      <protection locked="0"/>
    </xf>
    <xf numFmtId="177" fontId="0" fillId="131" borderId="69" xfId="0" applyNumberFormat="1" applyFill="1" applyBorder="1" applyAlignment="1" applyProtection="1">
      <alignment horizontal="right" vertical="top"/>
      <protection locked="0"/>
    </xf>
    <xf numFmtId="177" fontId="0" fillId="52" borderId="63" xfId="0" applyNumberFormat="1" applyFill="1" applyBorder="1" applyAlignment="1">
      <alignment horizontal="right" vertical="top"/>
    </xf>
    <xf numFmtId="170" fontId="10" fillId="52" borderId="59" xfId="2" applyNumberFormat="1" applyFont="1" applyFill="1" applyBorder="1" applyAlignment="1" applyProtection="1">
      <alignment vertical="center"/>
    </xf>
    <xf numFmtId="170" fontId="10" fillId="52" borderId="61" xfId="2" applyNumberFormat="1" applyFont="1" applyFill="1" applyBorder="1" applyAlignment="1" applyProtection="1">
      <alignment vertical="center"/>
    </xf>
    <xf numFmtId="170" fontId="10" fillId="52" borderId="68" xfId="2" applyNumberFormat="1" applyFont="1" applyFill="1" applyBorder="1" applyAlignment="1" applyProtection="1">
      <alignment vertical="center"/>
    </xf>
    <xf numFmtId="170" fontId="10" fillId="52" borderId="70" xfId="2" applyNumberFormat="1" applyFont="1" applyFill="1" applyBorder="1" applyAlignment="1" applyProtection="1">
      <alignment vertical="center"/>
    </xf>
    <xf numFmtId="10" fontId="0" fillId="51" borderId="72" xfId="0" applyNumberFormat="1" applyFill="1" applyBorder="1" applyAlignment="1">
      <alignment horizontal="right" vertical="top"/>
    </xf>
    <xf numFmtId="177" fontId="10" fillId="52" borderId="100" xfId="2" applyNumberFormat="1" applyFont="1" applyFill="1" applyBorder="1" applyAlignment="1" applyProtection="1">
      <alignment vertical="center"/>
    </xf>
    <xf numFmtId="177" fontId="10" fillId="52" borderId="78" xfId="2" applyNumberFormat="1" applyFont="1" applyFill="1" applyBorder="1" applyAlignment="1" applyProtection="1">
      <alignment vertical="center"/>
    </xf>
    <xf numFmtId="177" fontId="10" fillId="52" borderId="101" xfId="2" applyNumberFormat="1" applyFont="1" applyFill="1" applyBorder="1" applyAlignment="1" applyProtection="1">
      <alignment vertical="center"/>
    </xf>
    <xf numFmtId="177" fontId="10" fillId="52" borderId="107" xfId="2" applyNumberFormat="1" applyFont="1" applyFill="1" applyBorder="1" applyAlignment="1" applyProtection="1">
      <alignment vertical="center"/>
    </xf>
    <xf numFmtId="10" fontId="0" fillId="51" borderId="71" xfId="0" applyNumberFormat="1" applyFill="1" applyBorder="1" applyAlignment="1">
      <alignment horizontal="right" vertical="top"/>
    </xf>
    <xf numFmtId="177" fontId="10" fillId="52" borderId="101" xfId="2" applyNumberFormat="1" applyFont="1" applyFill="1" applyBorder="1" applyAlignment="1" applyProtection="1">
      <alignment vertical="top"/>
    </xf>
    <xf numFmtId="177" fontId="10" fillId="52" borderId="107" xfId="2" applyNumberFormat="1" applyFont="1" applyFill="1" applyBorder="1" applyAlignment="1" applyProtection="1">
      <alignment vertical="top"/>
    </xf>
    <xf numFmtId="177" fontId="8" fillId="52" borderId="71" xfId="0" applyNumberFormat="1" applyFont="1" applyFill="1" applyBorder="1" applyAlignment="1">
      <alignment horizontal="right" vertical="top"/>
    </xf>
    <xf numFmtId="177" fontId="0" fillId="52" borderId="72" xfId="0" applyNumberFormat="1" applyFill="1" applyBorder="1" applyAlignment="1">
      <alignment horizontal="right" vertical="top"/>
    </xf>
    <xf numFmtId="177" fontId="0" fillId="52" borderId="73" xfId="0" applyNumberFormat="1" applyFill="1" applyBorder="1" applyAlignment="1">
      <alignment horizontal="right" vertical="top"/>
    </xf>
    <xf numFmtId="177" fontId="0" fillId="52" borderId="84" xfId="0" applyNumberFormat="1" applyFill="1" applyBorder="1" applyAlignment="1">
      <alignment horizontal="right" vertical="top"/>
    </xf>
    <xf numFmtId="177" fontId="0" fillId="52" borderId="6" xfId="0" applyNumberFormat="1" applyFill="1" applyBorder="1" applyAlignment="1">
      <alignment horizontal="right" vertical="top"/>
    </xf>
    <xf numFmtId="177" fontId="0" fillId="52" borderId="69" xfId="0" applyNumberFormat="1" applyFill="1" applyBorder="1" applyAlignment="1">
      <alignment horizontal="right" vertical="top"/>
    </xf>
    <xf numFmtId="177" fontId="0" fillId="52" borderId="124" xfId="0" applyNumberFormat="1" applyFill="1" applyBorder="1" applyAlignment="1">
      <alignment horizontal="right" vertical="top"/>
    </xf>
    <xf numFmtId="177" fontId="0" fillId="52" borderId="126" xfId="0" applyNumberFormat="1" applyFill="1" applyBorder="1" applyAlignment="1">
      <alignment horizontal="right" vertical="top"/>
    </xf>
    <xf numFmtId="177" fontId="0" fillId="52" borderId="125" xfId="0" applyNumberFormat="1" applyFill="1" applyBorder="1" applyAlignment="1">
      <alignment horizontal="right" vertical="top"/>
    </xf>
    <xf numFmtId="170" fontId="10" fillId="52" borderId="6" xfId="1" applyNumberFormat="1" applyFont="1" applyFill="1" applyBorder="1" applyProtection="1"/>
    <xf numFmtId="177" fontId="0" fillId="54" borderId="71" xfId="0" applyNumberFormat="1" applyFill="1" applyBorder="1" applyAlignment="1">
      <alignment horizontal="right" vertical="top"/>
    </xf>
    <xf numFmtId="177" fontId="0" fillId="51" borderId="63" xfId="0" applyNumberFormat="1" applyFill="1" applyBorder="1" applyAlignment="1">
      <alignment horizontal="right" vertical="top"/>
    </xf>
    <xf numFmtId="177" fontId="0" fillId="51" borderId="93" xfId="0" applyNumberFormat="1" applyFill="1" applyBorder="1" applyAlignment="1">
      <alignment horizontal="right" vertical="top"/>
    </xf>
    <xf numFmtId="0" fontId="0" fillId="52" borderId="102" xfId="0" applyFill="1" applyBorder="1" applyAlignment="1">
      <alignment horizontal="right" vertical="top"/>
    </xf>
    <xf numFmtId="0" fontId="262" fillId="47" borderId="151" xfId="90" applyFont="1" applyFill="1" applyBorder="1" applyAlignment="1" applyProtection="1">
      <alignment horizontal="left"/>
      <protection locked="0"/>
    </xf>
    <xf numFmtId="0" fontId="263" fillId="47" borderId="116" xfId="90" applyFont="1" applyFill="1" applyBorder="1" applyAlignment="1" applyProtection="1">
      <alignment horizontal="left"/>
      <protection locked="0"/>
    </xf>
    <xf numFmtId="0" fontId="35" fillId="47" borderId="116" xfId="90" applyFont="1" applyFill="1" applyBorder="1" applyAlignment="1" applyProtection="1">
      <alignment horizontal="center" vertical="center"/>
      <protection locked="0"/>
    </xf>
    <xf numFmtId="0" fontId="35" fillId="47" borderId="116" xfId="90" applyFont="1" applyFill="1" applyBorder="1" applyAlignment="1" applyProtection="1">
      <alignment horizontal="left"/>
      <protection locked="0"/>
    </xf>
    <xf numFmtId="0" fontId="263" fillId="47" borderId="0" xfId="90" applyFont="1" applyFill="1" applyAlignment="1" applyProtection="1">
      <alignment horizontal="left"/>
      <protection locked="0"/>
    </xf>
    <xf numFmtId="0" fontId="35" fillId="47" borderId="0" xfId="90" applyFont="1" applyFill="1" applyAlignment="1" applyProtection="1">
      <alignment horizontal="center" vertical="center"/>
      <protection locked="0"/>
    </xf>
    <xf numFmtId="0" fontId="35" fillId="47" borderId="0" xfId="90" applyFont="1" applyFill="1" applyAlignment="1" applyProtection="1">
      <alignment horizontal="left"/>
      <protection locked="0"/>
    </xf>
    <xf numFmtId="0" fontId="35" fillId="47" borderId="127" xfId="90" applyFont="1" applyFill="1" applyBorder="1" applyAlignment="1" applyProtection="1">
      <alignment horizontal="center" vertical="center"/>
      <protection locked="0"/>
    </xf>
    <xf numFmtId="0" fontId="35" fillId="47" borderId="127" xfId="90" applyFont="1" applyFill="1" applyBorder="1" applyAlignment="1" applyProtection="1">
      <alignment horizontal="left"/>
      <protection locked="0"/>
    </xf>
    <xf numFmtId="0" fontId="267" fillId="53" borderId="0" xfId="0" applyFont="1" applyFill="1" applyAlignment="1" applyProtection="1">
      <alignment horizontal="left" vertical="top"/>
      <protection locked="0"/>
    </xf>
    <xf numFmtId="0" fontId="265" fillId="0" borderId="0" xfId="0" applyFont="1" applyAlignment="1" applyProtection="1">
      <alignment horizontal="left"/>
      <protection locked="0"/>
    </xf>
    <xf numFmtId="3" fontId="0" fillId="51" borderId="0" xfId="0" applyNumberFormat="1" applyFill="1" applyAlignment="1" applyProtection="1">
      <alignment horizontal="left" vertical="top"/>
      <protection locked="0"/>
    </xf>
    <xf numFmtId="2" fontId="10" fillId="40" borderId="6" xfId="75" applyNumberFormat="1" applyFont="1" applyFill="1" applyBorder="1" applyProtection="1">
      <protection locked="0"/>
    </xf>
    <xf numFmtId="0" fontId="0" fillId="42" borderId="0" xfId="0" applyFill="1" applyAlignment="1" applyProtection="1">
      <alignment horizontal="right" vertical="top" indent="1"/>
      <protection locked="0"/>
    </xf>
    <xf numFmtId="0" fontId="0" fillId="42" borderId="0" xfId="0" applyFill="1" applyAlignment="1" applyProtection="1">
      <alignment horizontal="left" vertical="top"/>
      <protection locked="0"/>
    </xf>
    <xf numFmtId="0" fontId="0" fillId="3" borderId="0" xfId="0" applyFill="1" applyAlignment="1" applyProtection="1">
      <alignment horizontal="left" vertical="top"/>
      <protection locked="0"/>
    </xf>
    <xf numFmtId="0" fontId="8" fillId="3" borderId="0" xfId="0" applyFont="1" applyFill="1" applyAlignment="1" applyProtection="1">
      <alignment horizontal="left" vertical="top"/>
      <protection locked="0"/>
    </xf>
    <xf numFmtId="0" fontId="8" fillId="3" borderId="0" xfId="0" applyFont="1" applyFill="1" applyAlignment="1" applyProtection="1">
      <alignment horizontal="center" vertical="center" wrapText="1"/>
      <protection locked="0"/>
    </xf>
    <xf numFmtId="0" fontId="0" fillId="3" borderId="0" xfId="0" applyFill="1" applyAlignment="1" applyProtection="1">
      <alignment horizontal="right" vertical="top"/>
      <protection locked="0"/>
    </xf>
    <xf numFmtId="0" fontId="265" fillId="0" borderId="0" xfId="0" applyFont="1" applyAlignment="1" applyProtection="1">
      <alignment horizontal="left" vertical="top"/>
      <protection locked="0"/>
    </xf>
    <xf numFmtId="177" fontId="0" fillId="0" borderId="0" xfId="0" applyNumberFormat="1" applyAlignment="1" applyProtection="1">
      <alignment horizontal="right" vertical="top"/>
      <protection locked="0"/>
    </xf>
    <xf numFmtId="0" fontId="25" fillId="41" borderId="6" xfId="75" applyFont="1" applyFill="1" applyBorder="1" applyProtection="1">
      <protection locked="0"/>
    </xf>
    <xf numFmtId="0" fontId="0" fillId="0" borderId="0" xfId="0" applyAlignment="1" applyProtection="1">
      <alignment horizontal="right"/>
      <protection locked="0"/>
    </xf>
    <xf numFmtId="173" fontId="37" fillId="48" borderId="0" xfId="94" applyProtection="1">
      <alignment vertical="center"/>
      <protection locked="0"/>
    </xf>
    <xf numFmtId="173" fontId="271" fillId="48" borderId="0" xfId="94" applyFont="1" applyProtection="1">
      <alignment vertical="center"/>
      <protection locked="0"/>
    </xf>
    <xf numFmtId="0" fontId="269" fillId="0" borderId="0" xfId="0" applyFont="1" applyAlignment="1" applyProtection="1">
      <alignment horizontal="left" vertical="top"/>
      <protection locked="0"/>
    </xf>
    <xf numFmtId="0" fontId="0" fillId="51" borderId="0" xfId="0" applyFill="1" applyAlignment="1" applyProtection="1">
      <alignment horizontal="left" vertical="top"/>
      <protection locked="0"/>
    </xf>
    <xf numFmtId="177" fontId="8" fillId="52" borderId="72" xfId="0" applyNumberFormat="1" applyFont="1" applyFill="1" applyBorder="1" applyAlignment="1">
      <alignment horizontal="right" vertical="top"/>
    </xf>
    <xf numFmtId="177" fontId="0" fillId="52" borderId="71" xfId="0" applyNumberFormat="1" applyFill="1" applyBorder="1" applyAlignment="1">
      <alignment horizontal="right" vertical="top"/>
    </xf>
    <xf numFmtId="0" fontId="260" fillId="47" borderId="127" xfId="90" applyFont="1" applyFill="1" applyBorder="1" applyAlignment="1" applyProtection="1">
      <alignment horizontal="left"/>
      <protection locked="0"/>
    </xf>
    <xf numFmtId="0" fontId="262" fillId="47" borderId="127" xfId="90" applyFont="1" applyFill="1" applyBorder="1" applyAlignment="1" applyProtection="1">
      <alignment horizontal="left"/>
      <protection locked="0"/>
    </xf>
    <xf numFmtId="0" fontId="30" fillId="0" borderId="0" xfId="90" applyFont="1" applyAlignment="1" applyProtection="1">
      <alignment horizontal="left"/>
      <protection locked="0"/>
    </xf>
    <xf numFmtId="0" fontId="32" fillId="0" borderId="0" xfId="75" applyFont="1" applyProtection="1">
      <protection locked="0"/>
    </xf>
    <xf numFmtId="1" fontId="8" fillId="2" borderId="73" xfId="0" applyNumberFormat="1" applyFont="1" applyFill="1" applyBorder="1" applyAlignment="1" applyProtection="1">
      <alignment horizontal="center" vertical="center"/>
      <protection locked="0"/>
    </xf>
    <xf numFmtId="1" fontId="8" fillId="2" borderId="85" xfId="0" applyNumberFormat="1" applyFont="1" applyFill="1" applyBorder="1" applyAlignment="1" applyProtection="1">
      <alignment horizontal="center" vertical="center" wrapText="1"/>
      <protection locked="0"/>
    </xf>
    <xf numFmtId="1" fontId="8" fillId="2" borderId="73" xfId="0" applyNumberFormat="1" applyFont="1" applyFill="1" applyBorder="1" applyAlignment="1" applyProtection="1">
      <alignment horizontal="center" vertical="center" wrapText="1"/>
      <protection locked="0"/>
    </xf>
    <xf numFmtId="1" fontId="8" fillId="2" borderId="6" xfId="0" applyNumberFormat="1" applyFont="1" applyFill="1" applyBorder="1" applyAlignment="1" applyProtection="1">
      <alignment horizontal="center" vertical="center"/>
      <protection locked="0"/>
    </xf>
    <xf numFmtId="173" fontId="11" fillId="0" borderId="0" xfId="0" applyNumberFormat="1" applyFont="1" applyAlignment="1" applyProtection="1">
      <alignment horizontal="left" vertical="center"/>
      <protection locked="0"/>
    </xf>
    <xf numFmtId="0" fontId="27" fillId="0" borderId="0" xfId="0" applyFont="1" applyProtection="1">
      <protection locked="0"/>
    </xf>
    <xf numFmtId="178" fontId="0" fillId="0" borderId="0" xfId="0" applyNumberFormat="1" applyAlignment="1" applyProtection="1">
      <alignment horizontal="left" vertical="top"/>
      <protection locked="0"/>
    </xf>
    <xf numFmtId="173" fontId="10" fillId="0" borderId="0" xfId="0" applyNumberFormat="1" applyFont="1" applyAlignment="1" applyProtection="1">
      <alignment horizontal="left" vertical="center" indent="1"/>
      <protection locked="0"/>
    </xf>
    <xf numFmtId="0" fontId="11" fillId="0" borderId="0" xfId="85" applyFont="1" applyAlignment="1" applyProtection="1">
      <alignment horizontal="left" vertical="center" wrapText="1"/>
      <protection locked="0"/>
    </xf>
    <xf numFmtId="0" fontId="10" fillId="0" borderId="0" xfId="85" applyFont="1" applyAlignment="1" applyProtection="1">
      <alignment horizontal="left" vertical="center" wrapText="1" indent="1"/>
      <protection locked="0"/>
    </xf>
    <xf numFmtId="177" fontId="10" fillId="3" borderId="62" xfId="2" applyNumberFormat="1" applyFont="1" applyFill="1" applyBorder="1" applyProtection="1">
      <protection locked="0"/>
    </xf>
    <xf numFmtId="0" fontId="10" fillId="42" borderId="0" xfId="75" applyFont="1" applyFill="1" applyAlignment="1" applyProtection="1">
      <alignment horizontal="center" vertical="top"/>
      <protection locked="0"/>
    </xf>
    <xf numFmtId="177" fontId="10" fillId="0" borderId="0" xfId="2" applyNumberFormat="1" applyFont="1" applyFill="1" applyBorder="1" applyProtection="1">
      <protection locked="0"/>
    </xf>
    <xf numFmtId="0" fontId="10" fillId="0" borderId="0" xfId="7" applyFont="1" applyAlignment="1" applyProtection="1">
      <alignment horizontal="left" vertical="center" wrapText="1" indent="1"/>
      <protection locked="0"/>
    </xf>
    <xf numFmtId="177" fontId="10" fillId="0" borderId="0" xfId="1" applyNumberFormat="1" applyFont="1" applyFill="1" applyBorder="1" applyProtection="1">
      <protection locked="0"/>
    </xf>
    <xf numFmtId="177" fontId="10" fillId="0" borderId="0" xfId="2" applyNumberFormat="1" applyFont="1" applyFill="1" applyBorder="1" applyAlignment="1" applyProtection="1">
      <alignment horizontal="right" vertical="center"/>
      <protection locked="0"/>
    </xf>
    <xf numFmtId="0" fontId="0" fillId="42" borderId="0" xfId="0" applyFill="1" applyProtection="1">
      <protection locked="0"/>
    </xf>
    <xf numFmtId="173" fontId="10" fillId="42" borderId="0" xfId="0" applyNumberFormat="1" applyFont="1" applyFill="1" applyAlignment="1" applyProtection="1">
      <alignment horizontal="left" vertical="center" indent="1"/>
      <protection locked="0"/>
    </xf>
    <xf numFmtId="177" fontId="11" fillId="42" borderId="28" xfId="1" applyNumberFormat="1" applyFont="1" applyFill="1" applyBorder="1" applyProtection="1">
      <protection locked="0"/>
    </xf>
    <xf numFmtId="177" fontId="11" fillId="42" borderId="28" xfId="2" applyNumberFormat="1" applyFont="1" applyFill="1" applyBorder="1" applyAlignment="1" applyProtection="1">
      <alignment horizontal="right" vertical="center"/>
      <protection locked="0"/>
    </xf>
    <xf numFmtId="173" fontId="11" fillId="0" borderId="0" xfId="0" applyNumberFormat="1" applyFont="1" applyAlignment="1" applyProtection="1">
      <alignment horizontal="left" vertical="center" indent="1"/>
      <protection locked="0"/>
    </xf>
    <xf numFmtId="0" fontId="8" fillId="53" borderId="0" xfId="0" applyFont="1" applyFill="1" applyProtection="1">
      <protection locked="0"/>
    </xf>
    <xf numFmtId="0" fontId="247" fillId="116" borderId="0" xfId="0" applyFont="1" applyFill="1" applyAlignment="1" applyProtection="1">
      <alignment horizontal="left" vertical="top" indent="1"/>
      <protection locked="0"/>
    </xf>
    <xf numFmtId="0" fontId="0" fillId="116" borderId="0" xfId="0" applyFill="1" applyAlignment="1" applyProtection="1">
      <alignment horizontal="left" vertical="top"/>
      <protection locked="0"/>
    </xf>
    <xf numFmtId="0" fontId="8" fillId="53" borderId="0" xfId="0" applyFont="1" applyFill="1" applyAlignment="1" applyProtection="1">
      <alignment horizontal="left"/>
      <protection locked="0"/>
    </xf>
    <xf numFmtId="0" fontId="0" fillId="53" borderId="0" xfId="0" applyFill="1" applyAlignment="1" applyProtection="1">
      <alignment horizontal="center" vertical="center" wrapText="1"/>
      <protection locked="0"/>
    </xf>
    <xf numFmtId="0" fontId="247" fillId="116" borderId="0" xfId="0" applyFont="1" applyFill="1" applyAlignment="1" applyProtection="1">
      <alignment horizontal="left" vertical="top"/>
      <protection locked="0"/>
    </xf>
    <xf numFmtId="0" fontId="247" fillId="0" borderId="0" xfId="0" applyFont="1" applyAlignment="1" applyProtection="1">
      <alignment horizontal="left" vertical="top"/>
      <protection locked="0"/>
    </xf>
    <xf numFmtId="177" fontId="10" fillId="42" borderId="0" xfId="2" applyNumberFormat="1" applyFont="1" applyFill="1" applyBorder="1" applyAlignment="1" applyProtection="1">
      <alignment horizontal="right" vertical="center"/>
      <protection locked="0"/>
    </xf>
    <xf numFmtId="177" fontId="0" fillId="0" borderId="0" xfId="1" applyNumberFormat="1" applyFont="1" applyFill="1" applyBorder="1" applyAlignment="1" applyProtection="1">
      <alignment horizontal="right"/>
      <protection locked="0"/>
    </xf>
    <xf numFmtId="177" fontId="0" fillId="0" borderId="0" xfId="1" applyNumberFormat="1" applyFont="1" applyFill="1" applyBorder="1" applyAlignment="1" applyProtection="1">
      <protection locked="0"/>
    </xf>
    <xf numFmtId="0" fontId="8" fillId="53" borderId="0" xfId="0" applyFont="1" applyFill="1" applyAlignment="1" applyProtection="1">
      <alignment horizontal="left" indent="1"/>
      <protection locked="0"/>
    </xf>
    <xf numFmtId="177" fontId="0" fillId="51" borderId="71" xfId="1" applyNumberFormat="1" applyFont="1" applyFill="1" applyBorder="1" applyAlignment="1" applyProtection="1">
      <alignment horizontal="right" vertical="top"/>
    </xf>
    <xf numFmtId="0" fontId="10" fillId="37" borderId="71" xfId="75" applyFont="1" applyFill="1" applyBorder="1" applyAlignment="1">
      <alignment horizontal="center" vertical="top"/>
    </xf>
    <xf numFmtId="0" fontId="10" fillId="37" borderId="72" xfId="75" applyFont="1" applyFill="1" applyBorder="1" applyAlignment="1">
      <alignment horizontal="center" vertical="top"/>
    </xf>
    <xf numFmtId="183" fontId="0" fillId="51" borderId="71" xfId="1" applyNumberFormat="1" applyFont="1" applyFill="1" applyBorder="1" applyAlignment="1" applyProtection="1">
      <alignment horizontal="right"/>
    </xf>
    <xf numFmtId="177" fontId="11" fillId="52" borderId="71" xfId="2" applyNumberFormat="1" applyFont="1" applyFill="1" applyBorder="1" applyAlignment="1" applyProtection="1">
      <alignment horizontal="right" vertical="center"/>
    </xf>
    <xf numFmtId="177" fontId="11" fillId="52" borderId="73" xfId="2" applyNumberFormat="1" applyFont="1" applyFill="1" applyBorder="1" applyAlignment="1" applyProtection="1">
      <alignment horizontal="right" vertical="center"/>
    </xf>
    <xf numFmtId="177" fontId="10" fillId="52" borderId="71" xfId="2" applyNumberFormat="1" applyFont="1" applyFill="1" applyBorder="1" applyAlignment="1" applyProtection="1">
      <alignment horizontal="right" vertical="center"/>
    </xf>
    <xf numFmtId="177" fontId="10" fillId="52" borderId="73" xfId="2" applyNumberFormat="1" applyFont="1" applyFill="1" applyBorder="1" applyAlignment="1" applyProtection="1">
      <alignment horizontal="right" vertical="center"/>
    </xf>
    <xf numFmtId="177" fontId="10" fillId="3" borderId="6" xfId="2" applyNumberFormat="1" applyFont="1" applyFill="1" applyBorder="1" applyProtection="1">
      <protection locked="0"/>
    </xf>
    <xf numFmtId="0" fontId="29" fillId="0" borderId="0" xfId="0" applyFont="1" applyAlignment="1" applyProtection="1">
      <alignment horizontal="left" vertical="top"/>
      <protection locked="0"/>
    </xf>
    <xf numFmtId="256" fontId="0" fillId="0" borderId="0" xfId="0" applyNumberFormat="1" applyAlignment="1" applyProtection="1">
      <alignment horizontal="left" vertical="top"/>
      <protection locked="0"/>
    </xf>
    <xf numFmtId="10" fontId="0" fillId="0" borderId="0" xfId="77" applyNumberFormat="1" applyFont="1" applyProtection="1">
      <protection locked="0"/>
    </xf>
    <xf numFmtId="177" fontId="10" fillId="3" borderId="59" xfId="1" applyNumberFormat="1" applyFont="1" applyFill="1" applyBorder="1" applyProtection="1">
      <protection locked="0"/>
    </xf>
    <xf numFmtId="0" fontId="10" fillId="0" borderId="0" xfId="85" applyFont="1" applyAlignment="1" applyProtection="1">
      <alignment horizontal="left" vertical="center" wrapText="1"/>
      <protection locked="0"/>
    </xf>
    <xf numFmtId="0" fontId="10" fillId="0" borderId="0" xfId="75" applyFont="1" applyAlignment="1" applyProtection="1">
      <alignment horizontal="center" vertical="top"/>
      <protection locked="0"/>
    </xf>
    <xf numFmtId="177" fontId="8" fillId="51" borderId="71" xfId="1" applyNumberFormat="1" applyFont="1" applyFill="1" applyBorder="1" applyAlignment="1" applyProtection="1">
      <alignment horizontal="right"/>
    </xf>
    <xf numFmtId="177" fontId="10" fillId="51" borderId="59" xfId="1" applyNumberFormat="1" applyFont="1" applyFill="1" applyBorder="1" applyProtection="1"/>
    <xf numFmtId="177" fontId="10" fillId="51" borderId="62" xfId="1" applyNumberFormat="1" applyFont="1" applyFill="1" applyBorder="1" applyProtection="1"/>
    <xf numFmtId="177" fontId="8" fillId="52" borderId="71" xfId="1" applyNumberFormat="1" applyFont="1" applyFill="1" applyBorder="1" applyAlignment="1" applyProtection="1">
      <alignment horizontal="right"/>
    </xf>
    <xf numFmtId="177" fontId="0" fillId="51" borderId="62" xfId="1" applyNumberFormat="1" applyFont="1" applyFill="1" applyBorder="1" applyAlignment="1" applyProtection="1">
      <alignment horizontal="right"/>
    </xf>
    <xf numFmtId="177" fontId="10" fillId="38" borderId="103" xfId="1" applyNumberFormat="1" applyFont="1" applyFill="1" applyBorder="1" applyProtection="1"/>
    <xf numFmtId="177" fontId="10" fillId="38" borderId="102" xfId="1" applyNumberFormat="1" applyFont="1" applyFill="1" applyBorder="1" applyProtection="1"/>
    <xf numFmtId="9" fontId="0" fillId="51" borderId="121" xfId="1" applyNumberFormat="1" applyFont="1" applyFill="1" applyBorder="1" applyAlignment="1" applyProtection="1">
      <alignment horizontal="right"/>
    </xf>
    <xf numFmtId="9" fontId="10" fillId="52" borderId="65" xfId="75" applyNumberFormat="1" applyFont="1" applyFill="1" applyBorder="1" applyAlignment="1">
      <alignment vertical="top"/>
    </xf>
    <xf numFmtId="9" fontId="10" fillId="52" borderId="66" xfId="75" applyNumberFormat="1" applyFont="1" applyFill="1" applyBorder="1" applyAlignment="1">
      <alignment vertical="top"/>
    </xf>
    <xf numFmtId="177" fontId="0" fillId="52" borderId="59" xfId="0" applyNumberFormat="1" applyFill="1" applyBorder="1"/>
    <xf numFmtId="177" fontId="0" fillId="52" borderId="60" xfId="0" applyNumberFormat="1" applyFill="1" applyBorder="1"/>
    <xf numFmtId="177" fontId="0" fillId="52" borderId="74" xfId="0" applyNumberFormat="1" applyFill="1" applyBorder="1"/>
    <xf numFmtId="177" fontId="0" fillId="52" borderId="75" xfId="0" applyNumberFormat="1" applyFill="1" applyBorder="1"/>
    <xf numFmtId="177" fontId="0" fillId="51" borderId="71" xfId="0" applyNumberFormat="1" applyFill="1" applyBorder="1"/>
    <xf numFmtId="175" fontId="0" fillId="52" borderId="71" xfId="0" applyNumberFormat="1" applyFill="1" applyBorder="1"/>
    <xf numFmtId="175" fontId="0" fillId="52" borderId="72" xfId="0" applyNumberFormat="1" applyFill="1" applyBorder="1"/>
    <xf numFmtId="175" fontId="0" fillId="51" borderId="68" xfId="0" applyNumberFormat="1" applyFill="1" applyBorder="1"/>
    <xf numFmtId="175" fontId="0" fillId="51" borderId="69" xfId="0" applyNumberFormat="1" applyFill="1" applyBorder="1"/>
    <xf numFmtId="175" fontId="0" fillId="52" borderId="71" xfId="0" applyNumberFormat="1" applyFill="1" applyBorder="1" applyAlignment="1">
      <alignment horizontal="right"/>
    </xf>
    <xf numFmtId="175" fontId="0" fillId="52" borderId="72" xfId="0" applyNumberFormat="1" applyFill="1" applyBorder="1" applyAlignment="1">
      <alignment horizontal="right"/>
    </xf>
    <xf numFmtId="351" fontId="0" fillId="52" borderId="59" xfId="0" applyNumberFormat="1" applyFill="1" applyBorder="1" applyAlignment="1">
      <alignment horizontal="right" vertical="top"/>
    </xf>
    <xf numFmtId="178" fontId="0" fillId="52" borderId="60" xfId="0" applyNumberFormat="1" applyFill="1" applyBorder="1" applyAlignment="1">
      <alignment horizontal="right" vertical="top"/>
    </xf>
    <xf numFmtId="177" fontId="0" fillId="52" borderId="74" xfId="0" applyNumberFormat="1" applyFill="1" applyBorder="1" applyAlignment="1">
      <alignment horizontal="right" vertical="top"/>
    </xf>
    <xf numFmtId="177" fontId="0" fillId="52" borderId="75" xfId="0" applyNumberFormat="1" applyFill="1" applyBorder="1" applyAlignment="1">
      <alignment horizontal="right" vertical="top"/>
    </xf>
    <xf numFmtId="0" fontId="30" fillId="47" borderId="116" xfId="90" applyFont="1" applyFill="1" applyBorder="1" applyAlignment="1" applyProtection="1">
      <alignment horizontal="center"/>
      <protection locked="0"/>
    </xf>
    <xf numFmtId="0" fontId="30" fillId="47" borderId="0" xfId="90" applyFont="1" applyFill="1" applyAlignment="1" applyProtection="1">
      <alignment horizontal="center"/>
      <protection locked="0"/>
    </xf>
    <xf numFmtId="0" fontId="11" fillId="0" borderId="0" xfId="0" applyFont="1" applyAlignment="1" applyProtection="1">
      <alignment horizontal="left" vertical="top"/>
      <protection locked="0"/>
    </xf>
    <xf numFmtId="0" fontId="247" fillId="0" borderId="0" xfId="0" applyFont="1" applyAlignment="1" applyProtection="1">
      <alignment horizontal="left" vertical="top" indent="1"/>
      <protection locked="0"/>
    </xf>
    <xf numFmtId="1" fontId="0" fillId="0" borderId="0" xfId="0" applyNumberFormat="1" applyAlignment="1" applyProtection="1">
      <alignment horizontal="center" vertical="top"/>
      <protection locked="0"/>
    </xf>
    <xf numFmtId="177" fontId="10" fillId="131" borderId="60" xfId="2" applyNumberFormat="1" applyFont="1" applyFill="1" applyBorder="1" applyProtection="1">
      <protection locked="0"/>
    </xf>
    <xf numFmtId="0" fontId="0" fillId="0" borderId="0" xfId="0" applyAlignment="1" applyProtection="1">
      <alignment horizontal="left" vertical="top" indent="2"/>
      <protection locked="0"/>
    </xf>
    <xf numFmtId="177" fontId="10" fillId="131" borderId="59" xfId="2" applyNumberFormat="1" applyFont="1" applyFill="1" applyBorder="1" applyProtection="1">
      <protection locked="0"/>
    </xf>
    <xf numFmtId="177" fontId="10" fillId="3" borderId="76" xfId="2" applyNumberFormat="1" applyFont="1" applyFill="1" applyBorder="1" applyProtection="1">
      <protection locked="0"/>
    </xf>
    <xf numFmtId="0" fontId="8" fillId="0" borderId="0" xfId="0" applyFont="1" applyAlignment="1" applyProtection="1">
      <alignment vertical="top"/>
      <protection locked="0"/>
    </xf>
    <xf numFmtId="177" fontId="10" fillId="131" borderId="71" xfId="2" applyNumberFormat="1" applyFont="1" applyFill="1" applyBorder="1" applyProtection="1">
      <protection locked="0"/>
    </xf>
    <xf numFmtId="177" fontId="10" fillId="131" borderId="6" xfId="2" applyNumberFormat="1" applyFont="1" applyFill="1" applyBorder="1" applyProtection="1">
      <protection locked="0"/>
    </xf>
    <xf numFmtId="177" fontId="11" fillId="3" borderId="74" xfId="2" applyNumberFormat="1" applyFont="1" applyFill="1" applyBorder="1" applyProtection="1">
      <protection locked="0"/>
    </xf>
    <xf numFmtId="177" fontId="11" fillId="0" borderId="0" xfId="2" applyNumberFormat="1" applyFont="1" applyFill="1" applyBorder="1" applyProtection="1">
      <protection locked="0"/>
    </xf>
    <xf numFmtId="352" fontId="10" fillId="0" borderId="0" xfId="2" applyNumberFormat="1" applyFont="1" applyFill="1" applyBorder="1" applyAlignment="1" applyProtection="1">
      <alignment horizontal="center"/>
      <protection locked="0"/>
    </xf>
    <xf numFmtId="177" fontId="269" fillId="0" borderId="0" xfId="2" applyNumberFormat="1" applyFont="1" applyFill="1" applyBorder="1" applyProtection="1">
      <protection locked="0"/>
    </xf>
    <xf numFmtId="1" fontId="0" fillId="0" borderId="0" xfId="0" applyNumberFormat="1" applyAlignment="1" applyProtection="1">
      <alignment vertical="top"/>
      <protection locked="0"/>
    </xf>
    <xf numFmtId="256" fontId="11" fillId="0" borderId="0" xfId="2" applyNumberFormat="1" applyFont="1" applyFill="1" applyBorder="1" applyProtection="1">
      <protection locked="0"/>
    </xf>
    <xf numFmtId="0" fontId="27" fillId="0" borderId="0" xfId="0" applyFont="1" applyAlignment="1" applyProtection="1">
      <alignment horizontal="center"/>
      <protection locked="0"/>
    </xf>
    <xf numFmtId="256" fontId="0" fillId="0" borderId="0" xfId="0" applyNumberFormat="1" applyProtection="1">
      <protection locked="0"/>
    </xf>
    <xf numFmtId="177" fontId="0" fillId="0" borderId="0" xfId="0" applyNumberFormat="1" applyProtection="1">
      <protection locked="0"/>
    </xf>
    <xf numFmtId="177" fontId="25" fillId="39" borderId="6" xfId="75" applyNumberFormat="1" applyFont="1" applyFill="1" applyBorder="1"/>
    <xf numFmtId="177" fontId="11" fillId="52" borderId="59" xfId="2" applyNumberFormat="1" applyFont="1" applyFill="1" applyBorder="1" applyProtection="1"/>
    <xf numFmtId="177" fontId="11" fillId="52" borderId="60" xfId="2" applyNumberFormat="1" applyFont="1" applyFill="1" applyBorder="1" applyProtection="1"/>
    <xf numFmtId="177" fontId="11" fillId="52" borderId="74" xfId="2" applyNumberFormat="1" applyFont="1" applyFill="1" applyBorder="1" applyProtection="1"/>
    <xf numFmtId="177" fontId="11" fillId="52" borderId="121" xfId="2" applyNumberFormat="1" applyFont="1" applyFill="1" applyBorder="1" applyProtection="1"/>
    <xf numFmtId="177" fontId="11" fillId="52" borderId="71" xfId="2" applyNumberFormat="1" applyFont="1" applyFill="1" applyBorder="1" applyProtection="1"/>
    <xf numFmtId="177" fontId="11" fillId="52" borderId="149" xfId="2" applyNumberFormat="1" applyFont="1" applyFill="1" applyBorder="1" applyProtection="1"/>
    <xf numFmtId="177" fontId="11" fillId="52" borderId="123" xfId="2" applyNumberFormat="1" applyFont="1" applyFill="1" applyBorder="1" applyProtection="1"/>
    <xf numFmtId="352" fontId="10" fillId="54" borderId="71" xfId="2" applyNumberFormat="1" applyFont="1" applyFill="1" applyBorder="1" applyAlignment="1" applyProtection="1">
      <alignment horizontal="center"/>
    </xf>
    <xf numFmtId="352" fontId="10" fillId="54" borderId="149" xfId="2" applyNumberFormat="1" applyFont="1" applyFill="1" applyBorder="1" applyAlignment="1" applyProtection="1">
      <alignment horizontal="center"/>
    </xf>
    <xf numFmtId="352" fontId="10" fillId="54" borderId="123" xfId="2" applyNumberFormat="1" applyFont="1" applyFill="1" applyBorder="1" applyAlignment="1" applyProtection="1">
      <alignment horizontal="center"/>
    </xf>
    <xf numFmtId="351" fontId="11" fillId="52" borderId="71" xfId="2" applyNumberFormat="1" applyFont="1" applyFill="1" applyBorder="1" applyProtection="1"/>
    <xf numFmtId="10" fontId="0" fillId="51" borderId="59" xfId="0" applyNumberFormat="1" applyFill="1" applyBorder="1" applyAlignment="1">
      <alignment horizontal="right" vertical="top"/>
    </xf>
    <xf numFmtId="10" fontId="0" fillId="51" borderId="62" xfId="0" applyNumberFormat="1" applyFill="1" applyBorder="1" applyAlignment="1">
      <alignment horizontal="right" vertical="top"/>
    </xf>
    <xf numFmtId="175" fontId="0" fillId="51" borderId="65" xfId="0" applyNumberFormat="1" applyFill="1" applyBorder="1" applyAlignment="1">
      <alignment horizontal="right" vertical="top"/>
    </xf>
    <xf numFmtId="10" fontId="10" fillId="52" borderId="71" xfId="2" applyNumberFormat="1" applyFont="1" applyFill="1" applyBorder="1" applyProtection="1"/>
    <xf numFmtId="10" fontId="10" fillId="52" borderId="72" xfId="2" applyNumberFormat="1" applyFont="1" applyFill="1" applyBorder="1" applyProtection="1"/>
    <xf numFmtId="0" fontId="270" fillId="47" borderId="127" xfId="90" applyFont="1" applyFill="1" applyBorder="1" applyAlignment="1" applyProtection="1">
      <alignment horizontal="center"/>
      <protection locked="0"/>
    </xf>
    <xf numFmtId="0" fontId="244" fillId="0" borderId="0" xfId="90" applyFont="1" applyAlignment="1" applyProtection="1">
      <alignment horizontal="left"/>
      <protection locked="0"/>
    </xf>
    <xf numFmtId="0" fontId="245" fillId="0" borderId="0" xfId="0" applyFont="1" applyProtection="1">
      <protection locked="0"/>
    </xf>
    <xf numFmtId="0" fontId="247" fillId="116" borderId="0" xfId="0" applyFont="1" applyFill="1" applyAlignment="1" applyProtection="1">
      <alignment vertical="top"/>
      <protection locked="0"/>
    </xf>
    <xf numFmtId="0" fontId="8" fillId="0" borderId="0" xfId="0" applyFont="1" applyAlignment="1" applyProtection="1">
      <alignment wrapText="1"/>
      <protection locked="0"/>
    </xf>
    <xf numFmtId="177" fontId="0" fillId="3" borderId="71" xfId="0" applyNumberFormat="1" applyFill="1" applyBorder="1" applyAlignment="1" applyProtection="1">
      <alignment horizontal="right" vertical="center"/>
      <protection locked="0"/>
    </xf>
    <xf numFmtId="0" fontId="273" fillId="0" borderId="0" xfId="0" applyFont="1" applyProtection="1">
      <protection locked="0"/>
    </xf>
    <xf numFmtId="177" fontId="0" fillId="0" borderId="0" xfId="0" applyNumberFormat="1" applyAlignment="1" applyProtection="1">
      <alignment horizontal="right" vertical="center"/>
      <protection locked="0"/>
    </xf>
    <xf numFmtId="173" fontId="11" fillId="0" borderId="0" xfId="0" applyNumberFormat="1" applyFont="1" applyAlignment="1" applyProtection="1">
      <alignment vertical="center"/>
      <protection locked="0"/>
    </xf>
    <xf numFmtId="177" fontId="10" fillId="0" borderId="0" xfId="0" applyNumberFormat="1" applyFont="1" applyAlignment="1" applyProtection="1">
      <alignment horizontal="left" vertical="center" indent="1"/>
      <protection locked="0"/>
    </xf>
    <xf numFmtId="173" fontId="29" fillId="0" borderId="0" xfId="0" applyNumberFormat="1" applyFont="1" applyAlignment="1" applyProtection="1">
      <alignment horizontal="left" vertical="center" indent="1"/>
      <protection locked="0"/>
    </xf>
    <xf numFmtId="0" fontId="11" fillId="53" borderId="0" xfId="85" applyFont="1" applyFill="1" applyAlignment="1" applyProtection="1">
      <alignment horizontal="left" vertical="center" wrapText="1"/>
      <protection locked="0"/>
    </xf>
    <xf numFmtId="0" fontId="10" fillId="53" borderId="0" xfId="85" applyFont="1" applyFill="1" applyAlignment="1" applyProtection="1">
      <alignment horizontal="left" vertical="center" wrapText="1"/>
      <protection locked="0"/>
    </xf>
    <xf numFmtId="177" fontId="10" fillId="0" borderId="0" xfId="2" applyNumberFormat="1" applyFont="1" applyProtection="1">
      <protection locked="0"/>
    </xf>
    <xf numFmtId="1" fontId="8" fillId="0" borderId="0" xfId="0" applyNumberFormat="1" applyFont="1" applyAlignment="1" applyProtection="1">
      <alignment horizontal="center" vertical="top"/>
      <protection locked="0"/>
    </xf>
    <xf numFmtId="177" fontId="0" fillId="52" borderId="71" xfId="0" applyNumberFormat="1" applyFill="1" applyBorder="1" applyAlignment="1">
      <alignment horizontal="right" vertical="center"/>
    </xf>
    <xf numFmtId="177" fontId="0" fillId="52" borderId="72" xfId="0" applyNumberFormat="1" applyFill="1" applyBorder="1" applyAlignment="1">
      <alignment horizontal="right" vertical="center"/>
    </xf>
    <xf numFmtId="183" fontId="0" fillId="51" borderId="71" xfId="0" applyNumberFormat="1" applyFill="1" applyBorder="1" applyAlignment="1">
      <alignment horizontal="right" vertical="top"/>
    </xf>
    <xf numFmtId="177" fontId="10" fillId="52" borderId="62" xfId="2" applyNumberFormat="1" applyFont="1" applyFill="1" applyBorder="1" applyProtection="1"/>
    <xf numFmtId="0" fontId="8" fillId="133" borderId="0" xfId="0" applyFont="1" applyFill="1" applyAlignment="1" applyProtection="1">
      <alignment horizontal="left" vertical="center" indent="1"/>
      <protection locked="0"/>
    </xf>
    <xf numFmtId="0" fontId="0" fillId="133" borderId="0" xfId="0" applyFill="1" applyAlignment="1" applyProtection="1">
      <alignment horizontal="left" vertical="top"/>
      <protection locked="0"/>
    </xf>
    <xf numFmtId="14" fontId="0" fillId="0" borderId="0" xfId="0" applyNumberFormat="1" applyProtection="1">
      <protection locked="0"/>
    </xf>
    <xf numFmtId="178" fontId="0" fillId="0" borderId="0" xfId="0" applyNumberFormat="1" applyProtection="1">
      <protection locked="0"/>
    </xf>
    <xf numFmtId="0" fontId="0" fillId="133" borderId="0" xfId="0" applyFill="1" applyProtection="1">
      <protection locked="0"/>
    </xf>
    <xf numFmtId="0" fontId="0" fillId="134" borderId="6" xfId="0" applyFill="1" applyBorder="1" applyProtection="1">
      <protection locked="0"/>
    </xf>
    <xf numFmtId="0" fontId="0" fillId="3" borderId="6" xfId="0" applyFill="1" applyBorder="1" applyProtection="1">
      <protection locked="0"/>
    </xf>
    <xf numFmtId="348" fontId="0" fillId="3" borderId="59" xfId="0" applyNumberFormat="1" applyFill="1" applyBorder="1" applyAlignment="1" applyProtection="1">
      <alignment horizontal="right" vertical="top"/>
      <protection locked="0"/>
    </xf>
    <xf numFmtId="348" fontId="0" fillId="3" borderId="6" xfId="0" applyNumberFormat="1" applyFill="1" applyBorder="1" applyAlignment="1" applyProtection="1">
      <alignment horizontal="right" vertical="top"/>
      <protection locked="0"/>
    </xf>
    <xf numFmtId="348" fontId="0" fillId="0" borderId="0" xfId="0" applyNumberFormat="1" applyProtection="1">
      <protection locked="0"/>
    </xf>
    <xf numFmtId="348" fontId="8" fillId="0" borderId="0" xfId="0" applyNumberFormat="1" applyFont="1" applyProtection="1">
      <protection locked="0"/>
    </xf>
    <xf numFmtId="348" fontId="0" fillId="52" borderId="121" xfId="0" applyNumberFormat="1" applyFill="1" applyBorder="1" applyAlignment="1">
      <alignment horizontal="right" vertical="top"/>
    </xf>
    <xf numFmtId="348" fontId="0" fillId="52" borderId="6" xfId="0" applyNumberFormat="1" applyFill="1" applyBorder="1"/>
    <xf numFmtId="348" fontId="0" fillId="52" borderId="59" xfId="0" applyNumberFormat="1" applyFill="1" applyBorder="1" applyAlignment="1">
      <alignment horizontal="right" vertical="top"/>
    </xf>
    <xf numFmtId="0" fontId="0" fillId="0" borderId="6" xfId="0" applyBorder="1" applyAlignment="1" applyProtection="1">
      <alignment horizontal="center" vertical="top"/>
      <protection locked="0"/>
    </xf>
    <xf numFmtId="0" fontId="8" fillId="53" borderId="0" xfId="0" applyFont="1" applyFill="1" applyAlignment="1" applyProtection="1">
      <alignment horizontal="left" vertical="top"/>
      <protection locked="0"/>
    </xf>
    <xf numFmtId="177" fontId="0" fillId="0" borderId="6" xfId="0" applyNumberFormat="1" applyBorder="1" applyAlignment="1" applyProtection="1">
      <alignment horizontal="right" vertical="top"/>
      <protection locked="0"/>
    </xf>
    <xf numFmtId="14" fontId="10" fillId="3" borderId="6" xfId="2" applyNumberFormat="1" applyFont="1" applyFill="1" applyBorder="1" applyProtection="1">
      <protection locked="0"/>
    </xf>
    <xf numFmtId="14" fontId="10" fillId="42" borderId="0" xfId="2" applyNumberFormat="1" applyFont="1" applyFill="1" applyBorder="1" applyProtection="1">
      <protection locked="0"/>
    </xf>
    <xf numFmtId="0" fontId="10" fillId="3" borderId="6" xfId="2" applyNumberFormat="1" applyFont="1" applyFill="1" applyBorder="1" applyAlignment="1" applyProtection="1">
      <alignment horizontal="center" vertical="center"/>
      <protection locked="0"/>
    </xf>
    <xf numFmtId="14" fontId="10" fillId="51" borderId="0" xfId="2" applyNumberFormat="1" applyFont="1" applyFill="1" applyBorder="1" applyAlignment="1" applyProtection="1">
      <alignment horizontal="center" vertical="center"/>
      <protection locked="0"/>
    </xf>
    <xf numFmtId="14" fontId="10" fillId="42" borderId="0" xfId="2" applyNumberFormat="1" applyFont="1" applyFill="1" applyBorder="1" applyAlignment="1" applyProtection="1">
      <alignment horizontal="center" vertical="center"/>
      <protection locked="0"/>
    </xf>
    <xf numFmtId="177" fontId="0" fillId="0" borderId="0" xfId="0" applyNumberFormat="1" applyAlignment="1" applyProtection="1">
      <alignment horizontal="right"/>
      <protection locked="0"/>
    </xf>
    <xf numFmtId="173" fontId="10" fillId="0" borderId="0" xfId="0" applyNumberFormat="1" applyFont="1" applyAlignment="1" applyProtection="1">
      <alignment vertical="center"/>
      <protection locked="0"/>
    </xf>
    <xf numFmtId="0" fontId="0" fillId="52" borderId="138" xfId="0" applyFill="1" applyBorder="1" applyAlignment="1">
      <alignment horizontal="center"/>
    </xf>
    <xf numFmtId="0" fontId="0" fillId="52" borderId="64" xfId="0" applyFill="1" applyBorder="1" applyAlignment="1">
      <alignment horizontal="center"/>
    </xf>
    <xf numFmtId="0" fontId="0" fillId="52" borderId="140" xfId="0" applyFill="1" applyBorder="1" applyAlignment="1">
      <alignment horizontal="center"/>
    </xf>
    <xf numFmtId="10" fontId="0" fillId="52" borderId="93" xfId="0" applyNumberFormat="1" applyFill="1" applyBorder="1"/>
    <xf numFmtId="10" fontId="0" fillId="52" borderId="137" xfId="0" applyNumberFormat="1" applyFill="1" applyBorder="1"/>
    <xf numFmtId="10" fontId="0" fillId="52" borderId="95" xfId="0" applyNumberFormat="1" applyFill="1" applyBorder="1"/>
    <xf numFmtId="1" fontId="8" fillId="53" borderId="162" xfId="0" applyNumberFormat="1" applyFont="1" applyFill="1" applyBorder="1" applyAlignment="1">
      <alignment horizontal="center" vertical="center"/>
    </xf>
    <xf numFmtId="1" fontId="8" fillId="53" borderId="163" xfId="0" applyNumberFormat="1" applyFont="1" applyFill="1" applyBorder="1" applyAlignment="1">
      <alignment horizontal="center" vertical="center"/>
    </xf>
    <xf numFmtId="178" fontId="0" fillId="117" borderId="164" xfId="0" applyNumberFormat="1" applyFill="1" applyBorder="1" applyAlignment="1">
      <alignment horizontal="right" indent="1"/>
    </xf>
    <xf numFmtId="10" fontId="0" fillId="52" borderId="165" xfId="0" applyNumberFormat="1" applyFill="1" applyBorder="1"/>
    <xf numFmtId="178" fontId="0" fillId="117" borderId="166" xfId="0" applyNumberFormat="1" applyFill="1" applyBorder="1" applyAlignment="1">
      <alignment horizontal="right" indent="1"/>
    </xf>
    <xf numFmtId="10" fontId="0" fillId="52" borderId="167" xfId="0" applyNumberFormat="1" applyFill="1" applyBorder="1"/>
    <xf numFmtId="178" fontId="0" fillId="117" borderId="165" xfId="0" applyNumberFormat="1" applyFill="1" applyBorder="1" applyAlignment="1">
      <alignment horizontal="right" indent="1"/>
    </xf>
    <xf numFmtId="10" fontId="0" fillId="52" borderId="168" xfId="0" applyNumberFormat="1" applyFill="1" applyBorder="1"/>
    <xf numFmtId="10" fontId="0" fillId="52" borderId="153" xfId="0" applyNumberFormat="1" applyFill="1" applyBorder="1"/>
    <xf numFmtId="178" fontId="0" fillId="117" borderId="118" xfId="0" applyNumberFormat="1" applyFill="1" applyBorder="1" applyAlignment="1">
      <alignment horizontal="right" indent="1"/>
    </xf>
    <xf numFmtId="178" fontId="0" fillId="117" borderId="169" xfId="0" applyNumberFormat="1" applyFill="1" applyBorder="1" applyAlignment="1">
      <alignment horizontal="right" indent="1"/>
    </xf>
    <xf numFmtId="0" fontId="0" fillId="0" borderId="141" xfId="0" applyBorder="1"/>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1" fontId="8" fillId="53" borderId="175" xfId="0" applyNumberFormat="1" applyFont="1" applyFill="1" applyBorder="1" applyAlignment="1">
      <alignment horizontal="center" vertical="center"/>
    </xf>
    <xf numFmtId="1" fontId="8" fillId="53" borderId="176" xfId="0" applyNumberFormat="1" applyFont="1" applyFill="1" applyBorder="1" applyAlignment="1">
      <alignment horizontal="center" vertical="center"/>
    </xf>
    <xf numFmtId="1" fontId="8" fillId="53" borderId="177" xfId="0" applyNumberFormat="1" applyFont="1" applyFill="1" applyBorder="1" applyAlignment="1">
      <alignment horizontal="center" vertical="center"/>
    </xf>
    <xf numFmtId="1" fontId="8" fillId="53" borderId="178" xfId="0" applyNumberFormat="1" applyFont="1" applyFill="1" applyBorder="1" applyAlignment="1">
      <alignment horizontal="center" vertical="center"/>
    </xf>
    <xf numFmtId="178" fontId="0" fillId="117" borderId="179" xfId="0" applyNumberFormat="1" applyFill="1" applyBorder="1" applyAlignment="1">
      <alignment horizontal="right" indent="1"/>
    </xf>
    <xf numFmtId="10" fontId="0" fillId="0" borderId="147" xfId="0" applyNumberFormat="1" applyBorder="1"/>
    <xf numFmtId="178" fontId="0" fillId="117" borderId="76" xfId="0" applyNumberFormat="1" applyFill="1" applyBorder="1" applyAlignment="1">
      <alignment horizontal="right" indent="1"/>
    </xf>
    <xf numFmtId="178" fontId="0" fillId="117" borderId="84" xfId="0" applyNumberFormat="1" applyFill="1" applyBorder="1" applyAlignment="1">
      <alignment horizontal="right" indent="1"/>
    </xf>
    <xf numFmtId="10" fontId="0" fillId="0" borderId="105" xfId="0" applyNumberFormat="1" applyBorder="1"/>
    <xf numFmtId="10" fontId="0" fillId="0" borderId="77" xfId="0" applyNumberFormat="1" applyBorder="1"/>
    <xf numFmtId="169" fontId="0" fillId="0" borderId="0" xfId="1" applyFont="1"/>
    <xf numFmtId="0" fontId="25" fillId="39" borderId="6" xfId="75" applyFont="1" applyFill="1" applyBorder="1" applyAlignment="1">
      <alignment horizontal="right"/>
    </xf>
    <xf numFmtId="348" fontId="0" fillId="0" borderId="63" xfId="1" applyNumberFormat="1" applyFont="1" applyBorder="1" applyAlignment="1">
      <alignment horizontal="right"/>
    </xf>
    <xf numFmtId="348" fontId="0" fillId="0" borderId="63" xfId="1" applyNumberFormat="1" applyFont="1" applyBorder="1" applyAlignment="1">
      <alignment horizontal="right" indent="3"/>
    </xf>
    <xf numFmtId="348" fontId="0" fillId="0" borderId="66" xfId="1" applyNumberFormat="1" applyFont="1" applyBorder="1" applyAlignment="1">
      <alignment horizontal="right"/>
    </xf>
    <xf numFmtId="0" fontId="0" fillId="0" borderId="120" xfId="0" applyBorder="1" applyAlignment="1">
      <alignment horizontal="left" vertical="top" wrapText="1" indent="1"/>
    </xf>
    <xf numFmtId="169" fontId="10" fillId="52" borderId="59" xfId="1" applyFont="1" applyFill="1" applyBorder="1" applyAlignment="1" applyProtection="1">
      <alignment vertical="center"/>
    </xf>
    <xf numFmtId="169" fontId="10" fillId="52" borderId="61" xfId="1" applyFont="1" applyFill="1" applyBorder="1" applyAlignment="1" applyProtection="1">
      <alignment vertical="center"/>
    </xf>
    <xf numFmtId="43" fontId="0" fillId="0" borderId="0" xfId="0" applyNumberFormat="1"/>
    <xf numFmtId="0" fontId="0" fillId="54" borderId="0" xfId="0" applyFill="1"/>
    <xf numFmtId="0" fontId="247" fillId="54" borderId="0" xfId="0" applyFont="1" applyFill="1"/>
    <xf numFmtId="3" fontId="10" fillId="54" borderId="6" xfId="89" applyNumberFormat="1" applyFont="1" applyFill="1" applyBorder="1" applyAlignment="1">
      <alignment horizontal="left" indent="1"/>
    </xf>
    <xf numFmtId="9" fontId="0" fillId="0" borderId="0" xfId="77" applyFont="1" applyFill="1" applyBorder="1" applyAlignment="1">
      <alignment horizontal="center" vertical="center"/>
    </xf>
    <xf numFmtId="0" fontId="33" fillId="0" borderId="0" xfId="93" applyFont="1"/>
    <xf numFmtId="0" fontId="0" fillId="54" borderId="0" xfId="0" applyFill="1" applyAlignment="1">
      <alignment horizontal="left" vertical="center"/>
    </xf>
    <xf numFmtId="0" fontId="0" fillId="0" borderId="151" xfId="0" applyBorder="1" applyAlignment="1">
      <alignment horizontal="left" vertical="top" wrapText="1" indent="1"/>
    </xf>
    <xf numFmtId="0" fontId="0" fillId="0" borderId="150" xfId="0" applyBorder="1" applyAlignment="1">
      <alignment vertical="top"/>
    </xf>
    <xf numFmtId="177" fontId="0" fillId="131" borderId="121" xfId="0" applyNumberFormat="1" applyFill="1" applyBorder="1" applyAlignment="1" applyProtection="1">
      <alignment horizontal="right" vertical="top"/>
      <protection locked="0"/>
    </xf>
    <xf numFmtId="0" fontId="0" fillId="54" borderId="0" xfId="0" applyFill="1" applyAlignment="1" applyProtection="1">
      <alignment horizontal="left" indent="1"/>
      <protection locked="0"/>
    </xf>
    <xf numFmtId="0" fontId="0" fillId="137" borderId="0" xfId="0" applyFill="1" applyAlignment="1" applyProtection="1">
      <alignment horizontal="left" vertical="top"/>
      <protection locked="0"/>
    </xf>
    <xf numFmtId="0" fontId="0" fillId="0" borderId="150" xfId="0" applyBorder="1" applyAlignment="1">
      <alignment horizontal="left" vertical="top" wrapText="1" indent="1"/>
    </xf>
    <xf numFmtId="348" fontId="10" fillId="52" borderId="6" xfId="2" applyNumberFormat="1" applyFont="1" applyFill="1" applyBorder="1" applyProtection="1"/>
    <xf numFmtId="0" fontId="10" fillId="0" borderId="6" xfId="0" applyFont="1" applyBorder="1" applyAlignment="1">
      <alignment vertical="top" wrapText="1"/>
    </xf>
    <xf numFmtId="0" fontId="0" fillId="0" borderId="150" xfId="0" applyBorder="1" applyAlignment="1">
      <alignment vertical="top" wrapText="1"/>
    </xf>
    <xf numFmtId="0" fontId="0" fillId="0" borderId="123" xfId="0" applyBorder="1" applyAlignment="1">
      <alignment vertical="top" wrapText="1"/>
    </xf>
    <xf numFmtId="0" fontId="0" fillId="0" borderId="152" xfId="0" applyBorder="1" applyAlignment="1">
      <alignment vertical="top" wrapText="1"/>
    </xf>
    <xf numFmtId="0" fontId="0" fillId="0" borderId="180" xfId="0" applyBorder="1" applyAlignment="1">
      <alignment vertical="top" wrapText="1"/>
    </xf>
    <xf numFmtId="0" fontId="11" fillId="54" borderId="0" xfId="85" applyFont="1" applyFill="1" applyAlignment="1" applyProtection="1">
      <alignment horizontal="left" vertical="center" wrapText="1"/>
      <protection locked="0"/>
    </xf>
    <xf numFmtId="183" fontId="10" fillId="0" borderId="6" xfId="7" applyNumberFormat="1" applyFont="1" applyBorder="1" applyAlignment="1">
      <alignment horizontal="center" vertical="center"/>
    </xf>
    <xf numFmtId="0" fontId="0" fillId="54" borderId="0" xfId="0" applyFill="1" applyAlignment="1">
      <alignment wrapText="1"/>
    </xf>
    <xf numFmtId="0" fontId="0" fillId="0" borderId="6" xfId="0" applyBorder="1" applyAlignment="1">
      <alignment horizontal="left" vertical="center" wrapText="1" indent="1"/>
    </xf>
    <xf numFmtId="0" fontId="0" fillId="0" borderId="181" xfId="0" applyBorder="1" applyAlignment="1">
      <alignment vertical="top" wrapText="1"/>
    </xf>
    <xf numFmtId="0" fontId="0" fillId="0" borderId="182" xfId="0" applyBorder="1"/>
    <xf numFmtId="0" fontId="0" fillId="0" borderId="182" xfId="0" applyBorder="1" applyAlignment="1">
      <alignment horizontal="left" vertical="top" wrapText="1" indent="1"/>
    </xf>
    <xf numFmtId="0" fontId="0" fillId="0" borderId="123" xfId="0" applyBorder="1" applyAlignment="1">
      <alignment wrapText="1"/>
    </xf>
    <xf numFmtId="43" fontId="0" fillId="0" borderId="0" xfId="0" applyNumberFormat="1" applyAlignment="1" applyProtection="1">
      <alignment horizontal="center" vertical="top"/>
      <protection locked="0"/>
    </xf>
    <xf numFmtId="0" fontId="8" fillId="2" borderId="150" xfId="0" applyFont="1" applyFill="1" applyBorder="1" applyAlignment="1">
      <alignment horizontal="center" vertical="center"/>
    </xf>
    <xf numFmtId="0" fontId="11" fillId="2" borderId="150" xfId="7" applyFont="1" applyFill="1" applyBorder="1" applyAlignment="1">
      <alignment horizontal="center" vertical="center"/>
    </xf>
    <xf numFmtId="178" fontId="0" fillId="52" borderId="6" xfId="0" applyNumberFormat="1" applyFill="1" applyBorder="1" applyAlignment="1">
      <alignment horizontal="right" indent="1"/>
    </xf>
    <xf numFmtId="183" fontId="0" fillId="0" borderId="0" xfId="0" applyNumberFormat="1" applyAlignment="1" applyProtection="1">
      <alignment horizontal="center" vertical="top"/>
      <protection locked="0"/>
    </xf>
    <xf numFmtId="0" fontId="0" fillId="0" borderId="119" xfId="0" applyBorder="1" applyAlignment="1">
      <alignment horizontal="left" vertical="center" wrapText="1" indent="1"/>
    </xf>
    <xf numFmtId="0" fontId="0" fillId="0" borderId="119" xfId="0" applyBorder="1" applyAlignment="1">
      <alignment wrapText="1"/>
    </xf>
    <xf numFmtId="0" fontId="0" fillId="0" borderId="119" xfId="0" applyBorder="1" applyAlignment="1">
      <alignment horizontal="left" vertical="center"/>
    </xf>
    <xf numFmtId="0" fontId="0" fillId="0" borderId="119" xfId="0" applyBorder="1" applyAlignment="1">
      <alignment vertical="center"/>
    </xf>
    <xf numFmtId="0" fontId="0" fillId="0" borderId="119" xfId="0" applyBorder="1" applyAlignment="1">
      <alignment vertical="top" wrapText="1"/>
    </xf>
    <xf numFmtId="0" fontId="0" fillId="0" borderId="6" xfId="0" applyBorder="1" applyAlignment="1">
      <alignment horizontal="center" vertical="top"/>
    </xf>
    <xf numFmtId="0" fontId="0" fillId="54" borderId="6" xfId="0" applyFill="1" applyBorder="1" applyAlignment="1">
      <alignment horizontal="center" vertical="top"/>
    </xf>
    <xf numFmtId="0" fontId="0" fillId="0" borderId="119" xfId="0" applyBorder="1" applyAlignment="1">
      <alignment horizontal="left" vertical="center" wrapText="1"/>
    </xf>
    <xf numFmtId="0" fontId="0" fillId="0" borderId="150" xfId="0" applyBorder="1" applyAlignment="1">
      <alignment horizontal="center" vertical="top"/>
    </xf>
    <xf numFmtId="0" fontId="8" fillId="54" borderId="0" xfId="0" applyFont="1" applyFill="1"/>
    <xf numFmtId="0" fontId="0" fillId="54" borderId="6" xfId="0" applyFill="1" applyBorder="1" applyAlignment="1">
      <alignment horizontal="center" vertical="center" wrapText="1"/>
    </xf>
    <xf numFmtId="10" fontId="0" fillId="0" borderId="0" xfId="77" applyNumberFormat="1" applyFont="1"/>
    <xf numFmtId="0" fontId="0" fillId="3" borderId="6" xfId="0" applyFill="1" applyBorder="1" applyAlignment="1" applyProtection="1">
      <alignment horizontal="center" vertical="center" wrapText="1"/>
      <protection locked="0"/>
    </xf>
    <xf numFmtId="169" fontId="0" fillId="3" borderId="59" xfId="0" applyNumberFormat="1" applyFill="1" applyBorder="1" applyAlignment="1" applyProtection="1">
      <alignment horizontal="right" vertical="top"/>
      <protection locked="0"/>
    </xf>
    <xf numFmtId="169" fontId="0" fillId="52" borderId="121" xfId="0" applyNumberFormat="1" applyFill="1" applyBorder="1" applyAlignment="1">
      <alignment horizontal="right" vertical="top"/>
    </xf>
    <xf numFmtId="169" fontId="0" fillId="52" borderId="59" xfId="0" applyNumberFormat="1" applyFill="1" applyBorder="1" applyAlignment="1">
      <alignment horizontal="right" vertical="top"/>
    </xf>
    <xf numFmtId="351" fontId="11" fillId="52" borderId="6" xfId="2" applyNumberFormat="1" applyFont="1" applyFill="1" applyBorder="1" applyProtection="1"/>
    <xf numFmtId="178" fontId="10" fillId="42" borderId="6" xfId="7" applyNumberFormat="1" applyFont="1" applyFill="1" applyBorder="1" applyAlignment="1">
      <alignment horizontal="center" vertical="center"/>
    </xf>
    <xf numFmtId="178" fontId="0" fillId="42" borderId="119" xfId="0" applyNumberFormat="1" applyFill="1" applyBorder="1" applyAlignment="1">
      <alignment horizontal="center" vertical="center"/>
    </xf>
    <xf numFmtId="178" fontId="10" fillId="42" borderId="120" xfId="7" applyNumberFormat="1" applyFont="1" applyFill="1" applyBorder="1" applyAlignment="1">
      <alignment horizontal="center" vertical="center"/>
    </xf>
    <xf numFmtId="178" fontId="0" fillId="42" borderId="6" xfId="0" applyNumberFormat="1" applyFill="1" applyBorder="1" applyAlignment="1">
      <alignment horizontal="right" indent="1"/>
    </xf>
    <xf numFmtId="178" fontId="0" fillId="42" borderId="120" xfId="0" applyNumberFormat="1" applyFill="1" applyBorder="1" applyAlignment="1">
      <alignment horizontal="right" indent="1"/>
    </xf>
    <xf numFmtId="0" fontId="0" fillId="0" borderId="0" xfId="0" applyAlignment="1">
      <alignment horizontal="center"/>
    </xf>
    <xf numFmtId="0" fontId="0" fillId="0" borderId="99" xfId="0" applyBorder="1" applyAlignment="1">
      <alignment horizontal="left" vertical="center" wrapText="1" indent="1"/>
    </xf>
    <xf numFmtId="0" fontId="0" fillId="0" borderId="79" xfId="0" applyBorder="1" applyAlignment="1">
      <alignment horizontal="left" vertical="center" wrapText="1" indent="1"/>
    </xf>
    <xf numFmtId="3" fontId="0" fillId="0" borderId="120"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97" xfId="0" applyBorder="1" applyAlignment="1">
      <alignment horizontal="left" vertical="center" wrapText="1" indent="1"/>
    </xf>
    <xf numFmtId="0" fontId="0" fillId="0" borderId="80" xfId="0" applyBorder="1" applyAlignment="1">
      <alignment horizontal="left" vertical="center" wrapText="1" indent="1"/>
    </xf>
    <xf numFmtId="0" fontId="0" fillId="0" borderId="120" xfId="0" applyBorder="1" applyAlignment="1">
      <alignment vertical="center" wrapText="1"/>
    </xf>
    <xf numFmtId="0" fontId="0" fillId="0" borderId="28" xfId="0" applyBorder="1" applyAlignment="1">
      <alignment vertical="center" wrapText="1"/>
    </xf>
    <xf numFmtId="0" fontId="0" fillId="0" borderId="123" xfId="0" applyBorder="1" applyAlignment="1">
      <alignment vertical="center" wrapText="1"/>
    </xf>
    <xf numFmtId="0" fontId="0" fillId="0" borderId="100" xfId="0" applyBorder="1" applyAlignment="1">
      <alignment vertical="center" wrapText="1"/>
    </xf>
    <xf numFmtId="0" fontId="0" fillId="0" borderId="83" xfId="0" applyBorder="1" applyAlignment="1">
      <alignment vertical="center" wrapText="1"/>
    </xf>
    <xf numFmtId="0" fontId="0" fillId="0" borderId="96"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2" xfId="0" applyBorder="1" applyAlignment="1">
      <alignment vertical="center" wrapText="1"/>
    </xf>
    <xf numFmtId="0" fontId="0" fillId="0" borderId="100" xfId="0" applyBorder="1" applyAlignment="1">
      <alignment horizontal="left" vertical="center" wrapText="1" indent="1"/>
    </xf>
    <xf numFmtId="0" fontId="0" fillId="0" borderId="78" xfId="0" applyBorder="1" applyAlignment="1">
      <alignment horizontal="left" vertical="center" wrapText="1" indent="1"/>
    </xf>
    <xf numFmtId="0" fontId="0" fillId="0" borderId="99" xfId="0" applyBorder="1" applyAlignment="1">
      <alignment horizontal="left" vertical="center" wrapText="1"/>
    </xf>
    <xf numFmtId="0" fontId="0" fillId="0" borderId="79" xfId="0" applyBorder="1" applyAlignment="1">
      <alignment horizontal="left" vertical="center" wrapText="1"/>
    </xf>
    <xf numFmtId="0" fontId="0" fillId="0" borderId="120" xfId="0" applyBorder="1" applyAlignment="1">
      <alignment horizontal="center" vertical="center" wrapText="1"/>
    </xf>
    <xf numFmtId="0" fontId="0" fillId="0" borderId="6" xfId="0" applyBorder="1" applyAlignment="1">
      <alignment horizontal="center" vertical="center" wrapText="1"/>
    </xf>
    <xf numFmtId="0" fontId="0" fillId="0" borderId="120" xfId="0" applyBorder="1" applyAlignment="1">
      <alignment horizontal="left" vertical="center" wrapText="1"/>
    </xf>
    <xf numFmtId="0" fontId="0" fillId="0" borderId="28" xfId="0" applyBorder="1" applyAlignment="1">
      <alignment horizontal="left" vertical="center" wrapText="1"/>
    </xf>
    <xf numFmtId="0" fontId="0" fillId="0" borderId="123" xfId="0" applyBorder="1" applyAlignment="1">
      <alignment horizontal="left" vertical="center" wrapText="1"/>
    </xf>
    <xf numFmtId="178" fontId="0" fillId="117" borderId="100" xfId="0" applyNumberFormat="1" applyFill="1" applyBorder="1" applyAlignment="1">
      <alignment horizontal="center"/>
    </xf>
    <xf numFmtId="178" fontId="0" fillId="117" borderId="95" xfId="0" applyNumberFormat="1" applyFill="1" applyBorder="1" applyAlignment="1">
      <alignment horizontal="center"/>
    </xf>
    <xf numFmtId="178" fontId="0" fillId="117" borderId="61" xfId="0" applyNumberFormat="1" applyFill="1" applyBorder="1" applyAlignment="1">
      <alignment horizontal="center"/>
    </xf>
    <xf numFmtId="0" fontId="0" fillId="0" borderId="0" xfId="0" applyAlignment="1">
      <alignment horizontal="left" vertical="center" wrapText="1" indent="1"/>
    </xf>
    <xf numFmtId="0" fontId="0" fillId="0" borderId="94" xfId="0" applyBorder="1" applyAlignment="1">
      <alignment horizontal="left" vertical="center" wrapText="1"/>
    </xf>
    <xf numFmtId="1" fontId="8" fillId="0" borderId="159" xfId="0" applyNumberFormat="1" applyFont="1" applyBorder="1" applyAlignment="1">
      <alignment horizontal="center" vertical="center"/>
    </xf>
    <xf numFmtId="1" fontId="8" fillId="0" borderId="160" xfId="0" applyNumberFormat="1" applyFont="1" applyBorder="1" applyAlignment="1">
      <alignment horizontal="center" vertical="center"/>
    </xf>
    <xf numFmtId="1" fontId="8" fillId="0" borderId="161" xfId="0" applyNumberFormat="1" applyFont="1" applyBorder="1" applyAlignment="1">
      <alignment horizontal="center" vertical="center"/>
    </xf>
    <xf numFmtId="1" fontId="8" fillId="0" borderId="173" xfId="0" applyNumberFormat="1" applyFont="1" applyBorder="1" applyAlignment="1">
      <alignment horizontal="center" vertical="center"/>
    </xf>
    <xf numFmtId="1" fontId="8" fillId="0" borderId="174" xfId="0" applyNumberFormat="1" applyFont="1" applyBorder="1" applyAlignment="1">
      <alignment horizontal="center" vertical="center"/>
    </xf>
    <xf numFmtId="0" fontId="0" fillId="0" borderId="97" xfId="0" applyBorder="1" applyAlignment="1">
      <alignment horizontal="left" vertical="center" wrapText="1"/>
    </xf>
    <xf numFmtId="0" fontId="0" fillId="0" borderId="80" xfId="0" applyBorder="1" applyAlignment="1">
      <alignment horizontal="left" vertical="center" wrapText="1"/>
    </xf>
    <xf numFmtId="3" fontId="0" fillId="54" borderId="120" xfId="0" applyNumberFormat="1" applyFill="1" applyBorder="1" applyAlignment="1">
      <alignment horizontal="center" vertical="center" wrapText="1"/>
    </xf>
    <xf numFmtId="3" fontId="0" fillId="54" borderId="6" xfId="0" applyNumberFormat="1" applyFill="1" applyBorder="1" applyAlignment="1">
      <alignment horizontal="center" vertical="center" wrapText="1"/>
    </xf>
    <xf numFmtId="0" fontId="0" fillId="0" borderId="100" xfId="0" applyBorder="1" applyAlignment="1">
      <alignment horizontal="left" vertical="center" wrapText="1"/>
    </xf>
    <xf numFmtId="0" fontId="0" fillId="0" borderId="78" xfId="0" applyBorder="1" applyAlignment="1">
      <alignment horizontal="left" vertical="center" wrapText="1"/>
    </xf>
    <xf numFmtId="0" fontId="0" fillId="0" borderId="6" xfId="0" applyBorder="1" applyAlignment="1">
      <alignment horizontal="left" vertical="center" wrapText="1" indent="1"/>
    </xf>
    <xf numFmtId="3" fontId="0" fillId="0" borderId="151" xfId="0" applyNumberFormat="1" applyBorder="1" applyAlignment="1">
      <alignment horizontal="center" vertical="center" wrapText="1"/>
    </xf>
    <xf numFmtId="3" fontId="0" fillId="0" borderId="150"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0" xfId="0" applyAlignment="1">
      <alignment horizontal="left" vertical="center" wrapText="1"/>
    </xf>
    <xf numFmtId="0" fontId="0" fillId="0" borderId="96" xfId="0" applyBorder="1" applyAlignment="1">
      <alignment horizontal="left" vertical="center" wrapText="1"/>
    </xf>
    <xf numFmtId="0" fontId="0" fillId="0" borderId="28" xfId="0" applyBorder="1" applyAlignment="1">
      <alignment horizontal="center" vertical="center" wrapText="1"/>
    </xf>
    <xf numFmtId="0" fontId="0" fillId="0" borderId="123" xfId="0" applyBorder="1" applyAlignment="1">
      <alignment horizontal="center" vertical="center" wrapText="1"/>
    </xf>
    <xf numFmtId="0" fontId="0" fillId="0" borderId="147" xfId="0" applyBorder="1" applyAlignment="1">
      <alignment horizontal="left" vertical="center" wrapText="1" indent="1"/>
    </xf>
    <xf numFmtId="0" fontId="0" fillId="0" borderId="148" xfId="0" applyBorder="1" applyAlignment="1">
      <alignment horizontal="left" vertical="center" wrapText="1" indent="1"/>
    </xf>
    <xf numFmtId="0" fontId="0" fillId="0" borderId="0" xfId="0" applyAlignment="1">
      <alignment horizont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0" fontId="10" fillId="36" borderId="6" xfId="75" applyFont="1" applyFill="1" applyBorder="1" applyAlignment="1">
      <alignment horizontal="left" vertical="top" wrapText="1"/>
    </xf>
    <xf numFmtId="0" fontId="0" fillId="0" borderId="6" xfId="0" applyBorder="1" applyAlignment="1">
      <alignment horizontal="left" vertical="top" wrapText="1"/>
    </xf>
    <xf numFmtId="0" fontId="33" fillId="0" borderId="6" xfId="75" applyFont="1" applyBorder="1" applyAlignment="1">
      <alignment horizontal="center" vertical="center" wrapText="1"/>
    </xf>
    <xf numFmtId="0" fontId="0" fillId="0" borderId="6" xfId="0" applyBorder="1" applyAlignment="1">
      <alignment wrapText="1"/>
    </xf>
    <xf numFmtId="0" fontId="0" fillId="3" borderId="151" xfId="0" applyFill="1" applyBorder="1" applyAlignment="1" applyProtection="1">
      <alignment horizontal="left" vertical="top" wrapText="1"/>
      <protection locked="0"/>
    </xf>
    <xf numFmtId="0" fontId="0" fillId="3" borderId="116" xfId="0" applyFill="1" applyBorder="1" applyAlignment="1" applyProtection="1">
      <alignment wrapText="1"/>
      <protection locked="0"/>
    </xf>
    <xf numFmtId="0" fontId="0" fillId="0" borderId="0" xfId="0" applyAlignment="1" applyProtection="1">
      <alignment horizontal="center"/>
      <protection locked="0"/>
    </xf>
    <xf numFmtId="0" fontId="0" fillId="3" borderId="152" xfId="0" applyFill="1" applyBorder="1" applyAlignment="1" applyProtection="1">
      <alignment wrapText="1"/>
      <protection locked="0"/>
    </xf>
    <xf numFmtId="0" fontId="0" fillId="3" borderId="0" xfId="0" applyFill="1" applyAlignment="1" applyProtection="1">
      <alignment horizontal="left" vertical="top" indent="1"/>
      <protection locked="0"/>
    </xf>
    <xf numFmtId="0" fontId="247" fillId="116" borderId="0" xfId="0" applyFont="1" applyFill="1" applyAlignment="1" applyProtection="1">
      <alignment horizontal="left" vertical="top" wrapText="1"/>
      <protection locked="0"/>
    </xf>
    <xf numFmtId="0" fontId="0" fillId="134" borderId="120" xfId="0" applyFill="1" applyBorder="1" applyAlignment="1" applyProtection="1">
      <alignment horizontal="center"/>
      <protection locked="0"/>
    </xf>
    <xf numFmtId="0" fontId="0" fillId="134" borderId="28" xfId="0" applyFill="1" applyBorder="1" applyAlignment="1" applyProtection="1">
      <alignment horizontal="center"/>
      <protection locked="0"/>
    </xf>
    <xf numFmtId="0" fontId="0" fillId="134" borderId="123" xfId="0" applyFill="1" applyBorder="1" applyAlignment="1" applyProtection="1">
      <alignment horizontal="center"/>
      <protection locked="0"/>
    </xf>
    <xf numFmtId="0" fontId="0" fillId="3" borderId="116" xfId="0" applyFill="1" applyBorder="1" applyAlignment="1" applyProtection="1">
      <alignment horizontal="left" vertical="top" wrapText="1"/>
      <protection locked="0"/>
    </xf>
    <xf numFmtId="0" fontId="0" fillId="3" borderId="152" xfId="0" applyFill="1" applyBorder="1" applyAlignment="1" applyProtection="1">
      <alignment horizontal="left" vertical="top" wrapText="1"/>
      <protection locked="0"/>
    </xf>
    <xf numFmtId="0" fontId="0" fillId="3" borderId="157"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89" xfId="0" applyFill="1" applyBorder="1" applyAlignment="1" applyProtection="1">
      <alignment horizontal="left" vertical="top" wrapText="1"/>
      <protection locked="0"/>
    </xf>
    <xf numFmtId="0" fontId="0" fillId="3" borderId="127" xfId="0" applyFill="1" applyBorder="1" applyAlignment="1" applyProtection="1">
      <alignment horizontal="left" vertical="top" wrapText="1"/>
      <protection locked="0"/>
    </xf>
    <xf numFmtId="0" fontId="0" fillId="3" borderId="90" xfId="0" applyFill="1" applyBorder="1" applyAlignment="1" applyProtection="1">
      <alignment horizontal="left" vertical="top" wrapText="1"/>
      <protection locked="0"/>
    </xf>
    <xf numFmtId="0" fontId="0" fillId="53" borderId="150" xfId="0" applyFill="1" applyBorder="1" applyAlignment="1" applyProtection="1">
      <alignment horizontal="center" vertical="top" wrapText="1"/>
      <protection locked="0"/>
    </xf>
    <xf numFmtId="0" fontId="0" fillId="53" borderId="156" xfId="0" applyFill="1" applyBorder="1" applyAlignment="1" applyProtection="1">
      <alignment horizontal="center" vertical="top" wrapText="1"/>
      <protection locked="0"/>
    </xf>
    <xf numFmtId="0" fontId="0" fillId="53" borderId="106" xfId="0" applyFill="1" applyBorder="1" applyAlignment="1" applyProtection="1">
      <alignment horizontal="center" vertical="top" wrapText="1"/>
      <protection locked="0"/>
    </xf>
  </cellXfs>
  <cellStyles count="51704">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14 2" xfId="51697" xr:uid="{D786B4B1-8F65-4895-A4D3-20C3D9AB1336}"/>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7 2" xfId="51702" xr:uid="{16BCE47F-0775-44AC-AD9C-EE79732921CD}"/>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2 2 2 2" xfId="51700" xr:uid="{9F4AF446-F3AF-4F07-9AFC-7D530C54563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0 2 2" xfId="51695" xr:uid="{FD96FCAA-C9B1-483D-9A3B-FE0F366A0DB9}"/>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0 2 2" xfId="51696" xr:uid="{01EBFC67-6FC9-4297-B358-0FC831192AE6}"/>
    <cellStyle name="Normal 61" xfId="90" xr:uid="{00000000-0005-0000-0000-00003F460000}"/>
    <cellStyle name="Normal 61 2" xfId="16827" xr:uid="{00000000-0005-0000-0000-000040460000}"/>
    <cellStyle name="Normal 61 3 2" xfId="51698" xr:uid="{7DB87781-B3EA-4CD5-9092-96E766B9E9C4}"/>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71" xfId="51685" xr:uid="{D88C049C-0ABF-4963-A188-FC0A6DC5C5F8}"/>
    <cellStyle name="Normal 72" xfId="51687" xr:uid="{78AE7F22-65C0-4960-860E-692289CD99BD}"/>
    <cellStyle name="Normal 73" xfId="51689" xr:uid="{6DF7956B-B673-4C54-8158-D8A9E57FE5A2}"/>
    <cellStyle name="Normal 73 2" xfId="51691"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16" xfId="51686" xr:uid="{A5ABCC90-F860-4D7D-893B-9C9C2F1A77B2}"/>
    <cellStyle name="Percent 17" xfId="51688" xr:uid="{7E2A4EBC-EDAF-455C-99E2-6E0AFECBF748}"/>
    <cellStyle name="Percent 18" xfId="51690" xr:uid="{30F21A05-C29D-4306-B467-A48BF6254259}"/>
    <cellStyle name="Percent 18 2" xfId="51692"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18" xfId="51703" xr:uid="{6D8A232D-4A64-4D2E-8BA2-37AFDBAE2F3A}"/>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10" xfId="51701" xr:uid="{2FD29704-F845-4AAA-ABE2-EF1B5B05A1B8}"/>
    <cellStyle name="Percent 3 2" xfId="21414" xr:uid="{00000000-0005-0000-0000-000069590000}"/>
    <cellStyle name="Percent 3 2 4" xfId="51699" xr:uid="{4DEB5784-13C4-4561-9C53-E16FFCFE34E9}"/>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47 2 2" xfId="51694" xr:uid="{A88BAD4B-83B2-4577-B1C3-F23E9A5FD83B}"/>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47 2 2" xfId="51693" xr:uid="{A5665928-FD4A-489B-8B5C-2D4C7D58E0BC}"/>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93">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bgColor theme="0" tint="-4.9989318521683403E-2"/>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fgColor auto="1"/>
          <bgColor theme="7" tint="0.79998168889431442"/>
        </patternFill>
      </fill>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CC99"/>
      <color rgb="FFCCFFCC"/>
      <color rgb="FFFFFFAB"/>
      <color rgb="FFC0C0C0"/>
      <color rgb="FFFFFFCC"/>
      <color rgb="FFCCFFFF"/>
      <color rgb="FFCCECFF"/>
      <color rgb="FFFFFF99"/>
      <color rgb="FF99CCFF"/>
      <color rgb="FFFFF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2200560</xdr:colOff>
      <xdr:row>1</xdr:row>
      <xdr:rowOff>1810</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1058487</xdr:colOff>
      <xdr:row>0</xdr:row>
      <xdr:rowOff>564509</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87"/>
  <sheetViews>
    <sheetView tabSelected="1" zoomScaleNormal="100" workbookViewId="0">
      <selection sqref="A1:XFD1"/>
    </sheetView>
  </sheetViews>
  <sheetFormatPr defaultRowHeight="12.75"/>
  <cols>
    <col min="1" max="1" width="8.375" customWidth="1"/>
    <col min="2" max="2" width="41.5" customWidth="1"/>
    <col min="3" max="6" width="14.125" customWidth="1"/>
    <col min="7" max="7" width="40.875" style="34" customWidth="1"/>
    <col min="8" max="8" width="3.5" customWidth="1"/>
    <col min="9" max="9" width="14.125" customWidth="1"/>
  </cols>
  <sheetData>
    <row r="1" spans="1:10" s="765" customFormat="1" ht="56.85" customHeight="1"/>
    <row r="2" spans="1:10" ht="20.25">
      <c r="A2" s="95" t="s">
        <v>0</v>
      </c>
      <c r="B2" s="96"/>
      <c r="C2" s="96"/>
      <c r="D2" s="97"/>
      <c r="E2" s="98"/>
      <c r="F2" s="96"/>
      <c r="G2" s="99"/>
      <c r="H2" s="96"/>
      <c r="I2" s="96"/>
    </row>
    <row r="3" spans="1:10" ht="20.25">
      <c r="A3" s="95" t="str">
        <f>Licensee</f>
        <v>SPMW</v>
      </c>
      <c r="B3" s="96"/>
      <c r="C3" s="96"/>
      <c r="D3" s="98"/>
      <c r="E3" s="98"/>
      <c r="F3" s="96"/>
      <c r="G3" s="99"/>
      <c r="H3" s="96"/>
      <c r="I3" s="96"/>
    </row>
    <row r="4" spans="1:10" ht="20.25">
      <c r="A4" s="95" t="s">
        <v>1</v>
      </c>
      <c r="B4" s="96"/>
      <c r="C4" s="96"/>
      <c r="D4" s="98"/>
      <c r="E4" s="98"/>
      <c r="F4" s="96"/>
      <c r="G4" s="99"/>
      <c r="H4" s="96"/>
      <c r="I4" s="96"/>
    </row>
    <row r="5" spans="1:10" ht="20.25">
      <c r="A5" s="159"/>
      <c r="B5" s="160"/>
      <c r="C5" s="160"/>
      <c r="D5" s="161"/>
      <c r="E5" s="161"/>
      <c r="F5" s="160"/>
      <c r="G5" s="277"/>
      <c r="H5" s="160"/>
      <c r="I5" s="160"/>
    </row>
    <row r="6" spans="1:10" ht="14.25">
      <c r="A6" s="7"/>
      <c r="B6" s="194" t="s">
        <v>2</v>
      </c>
      <c r="C6" s="201" cm="1">
        <f t="array" ref="C6">INDEX(Data!$E$63:'Data'!$E$91,MATCH(Licensee,Data!$B$63:$B$91,0),0)</f>
        <v>2024</v>
      </c>
      <c r="D6" s="161"/>
      <c r="E6" s="161"/>
      <c r="H6" s="278"/>
    </row>
    <row r="7" spans="1:10" ht="13.5" customHeight="1">
      <c r="A7" s="7"/>
      <c r="B7" s="194" t="s">
        <v>3</v>
      </c>
      <c r="C7" s="195" t="s">
        <v>4</v>
      </c>
      <c r="D7" s="161"/>
      <c r="E7" s="161"/>
      <c r="F7" s="196"/>
      <c r="G7" s="279" t="s">
        <v>5</v>
      </c>
      <c r="H7" s="278"/>
    </row>
    <row r="8" spans="1:10" ht="13.5" customHeight="1">
      <c r="A8" s="7"/>
      <c r="B8" s="194" t="s">
        <v>6</v>
      </c>
      <c r="C8" s="704" t="str">
        <f>INDEX(Data!$A$63:$A$91,MATCH($C$7,Data!$B$63:$B$91,0),0)&amp;"2"</f>
        <v>ED2</v>
      </c>
      <c r="D8" s="161"/>
      <c r="E8" s="161"/>
      <c r="F8" s="198"/>
      <c r="G8" s="279" t="s">
        <v>7</v>
      </c>
      <c r="H8" s="278"/>
    </row>
    <row r="9" spans="1:10" ht="25.5">
      <c r="A9" s="7"/>
      <c r="B9" s="199" t="s">
        <v>8</v>
      </c>
      <c r="C9" s="200">
        <v>2024</v>
      </c>
      <c r="D9" s="161"/>
      <c r="E9" s="161"/>
      <c r="F9" s="201"/>
      <c r="G9" s="280" t="s">
        <v>9</v>
      </c>
      <c r="H9" s="278"/>
    </row>
    <row r="10" spans="1:10" ht="14.25">
      <c r="A10" s="7"/>
      <c r="B10" s="194" t="s">
        <v>10</v>
      </c>
      <c r="C10" s="200"/>
      <c r="D10" s="161"/>
      <c r="E10" s="161"/>
      <c r="F10" s="202"/>
      <c r="G10" s="279" t="s">
        <v>11</v>
      </c>
      <c r="H10" s="278"/>
    </row>
    <row r="11" spans="1:10" ht="14.25">
      <c r="A11" s="7"/>
      <c r="B11" s="194" t="s">
        <v>12</v>
      </c>
      <c r="C11" s="203"/>
      <c r="D11" s="161"/>
      <c r="E11" s="161"/>
      <c r="F11" s="204"/>
      <c r="G11" s="279" t="s">
        <v>13</v>
      </c>
      <c r="H11" s="278"/>
    </row>
    <row r="12" spans="1:10" ht="14.25">
      <c r="A12" s="7"/>
      <c r="D12" s="161"/>
      <c r="E12" s="161"/>
      <c r="F12" s="205"/>
      <c r="G12" s="279" t="s">
        <v>14</v>
      </c>
      <c r="H12" s="278"/>
    </row>
    <row r="13" spans="1:10" ht="14.25">
      <c r="A13" s="7"/>
      <c r="D13" s="161"/>
      <c r="E13" s="161"/>
      <c r="F13" s="206"/>
      <c r="G13" s="279" t="s">
        <v>15</v>
      </c>
      <c r="H13" s="278"/>
    </row>
    <row r="14" spans="1:10">
      <c r="A14" s="7"/>
      <c r="D14" s="161"/>
      <c r="E14" s="161"/>
      <c r="F14" s="2"/>
      <c r="G14" s="281"/>
    </row>
    <row r="15" spans="1:10">
      <c r="C15" s="161"/>
      <c r="F15" s="161"/>
      <c r="G15"/>
      <c r="H15" s="161"/>
      <c r="J15" s="161"/>
    </row>
    <row r="16" spans="1:10">
      <c r="C16" s="161"/>
      <c r="F16" s="161"/>
      <c r="G16"/>
      <c r="H16" s="161"/>
      <c r="J16" s="161"/>
    </row>
    <row r="17" spans="3:10">
      <c r="C17" s="161"/>
      <c r="F17" s="161"/>
      <c r="G17"/>
      <c r="H17" s="161"/>
      <c r="J17" s="161"/>
    </row>
    <row r="18" spans="3:10">
      <c r="C18" s="161"/>
      <c r="F18" s="161"/>
      <c r="G18"/>
      <c r="H18" s="161"/>
      <c r="J18" s="161"/>
    </row>
    <row r="19" spans="3:10">
      <c r="C19" s="161"/>
      <c r="F19" s="161"/>
      <c r="G19"/>
      <c r="H19" s="161"/>
      <c r="J19" s="161"/>
    </row>
    <row r="20" spans="3:10">
      <c r="C20" s="161"/>
      <c r="F20" s="161"/>
      <c r="G20"/>
      <c r="H20" s="161"/>
      <c r="J20" s="161"/>
    </row>
    <row r="21" spans="3:10">
      <c r="J21" s="161"/>
    </row>
    <row r="22" spans="3:10">
      <c r="C22" s="161"/>
      <c r="F22" s="161"/>
      <c r="G22"/>
      <c r="H22" s="161"/>
      <c r="J22" s="161"/>
    </row>
    <row r="23" spans="3:10">
      <c r="C23" s="161"/>
      <c r="F23" s="161"/>
      <c r="G23"/>
      <c r="H23" s="161"/>
      <c r="J23" s="161"/>
    </row>
    <row r="24" spans="3:10">
      <c r="C24" s="161"/>
      <c r="F24" s="161"/>
      <c r="G24"/>
      <c r="H24" s="161"/>
      <c r="J24" s="161"/>
    </row>
    <row r="25" spans="3:10">
      <c r="C25" s="161"/>
      <c r="F25" s="161"/>
      <c r="G25"/>
      <c r="H25" s="161"/>
      <c r="J25" s="161"/>
    </row>
    <row r="26" spans="3:10">
      <c r="C26" s="161"/>
      <c r="F26" s="161"/>
      <c r="G26"/>
      <c r="H26" s="161"/>
      <c r="J26" s="161"/>
    </row>
    <row r="27" spans="3:10">
      <c r="C27" s="161"/>
      <c r="F27" s="161"/>
      <c r="G27"/>
      <c r="H27" s="161"/>
      <c r="J27" s="161"/>
    </row>
    <row r="87" spans="1:1">
      <c r="A87" s="12"/>
    </row>
  </sheetData>
  <mergeCells count="1">
    <mergeCell ref="A1:XFD1"/>
  </mergeCells>
  <pageMargins left="0.70866141732283472" right="0.70866141732283472" top="0.74803149606299213" bottom="0.74803149606299213" header="0.31496062992125984" footer="0.31496062992125984"/>
  <pageSetup scale="48" orientation="portrait" r:id="rId1"/>
  <headerFooter>
    <oddFooter>&amp;C_x000D_&amp;1#&amp;"Calibri"&amp;12&amp;K008000 Internal Use</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Data!$F$18:$L$18</xm:f>
          </x14:formula1>
          <xm:sqref>C9</xm:sqref>
        </x14:dataValidation>
        <x14:dataValidation type="list" allowBlank="1" showInputMessage="1" showErrorMessage="1" xr:uid="{00000000-0002-0000-0000-000001000000}">
          <x14:formula1>
            <xm:f>Data!$B$63:$B$91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AJ383"/>
  <sheetViews>
    <sheetView zoomScale="85" zoomScaleNormal="85" workbookViewId="0"/>
  </sheetViews>
  <sheetFormatPr defaultRowHeight="12.75"/>
  <cols>
    <col min="1" max="1" width="10" customWidth="1"/>
    <col min="2" max="2" width="59.125" customWidth="1"/>
    <col min="3" max="3" width="17.75" customWidth="1"/>
    <col min="4" max="4" width="16.875" customWidth="1"/>
    <col min="5" max="5" width="11.75" customWidth="1"/>
    <col min="6" max="6" width="13.125" bestFit="1" customWidth="1"/>
    <col min="7" max="7" width="13.875" customWidth="1"/>
    <col min="8" max="8" width="11.5" bestFit="1" customWidth="1"/>
    <col min="9" max="9" width="11.125" bestFit="1" customWidth="1"/>
    <col min="10" max="10" width="12.375" customWidth="1"/>
    <col min="11" max="11" width="11.25" customWidth="1"/>
    <col min="12" max="12" width="15.875" customWidth="1"/>
    <col min="13" max="13" width="11.875" customWidth="1"/>
    <col min="14" max="14" width="12.75" customWidth="1"/>
  </cols>
  <sheetData>
    <row r="1" spans="1:14" ht="20.25">
      <c r="A1" s="241" t="s">
        <v>16</v>
      </c>
      <c r="B1" s="285"/>
      <c r="C1" s="285"/>
      <c r="D1" s="285"/>
      <c r="E1" s="285"/>
      <c r="F1" s="285"/>
      <c r="G1" s="285"/>
      <c r="H1" s="285"/>
      <c r="I1" s="285"/>
      <c r="J1" s="285"/>
      <c r="K1" s="285"/>
      <c r="L1" s="285"/>
      <c r="M1" s="285"/>
      <c r="N1" s="242"/>
    </row>
    <row r="2" spans="1:14" ht="20.25">
      <c r="A2" s="282" t="str">
        <f>Licensee</f>
        <v>SPMW</v>
      </c>
      <c r="B2" s="98"/>
      <c r="C2" s="98"/>
      <c r="D2" s="98"/>
      <c r="E2" s="98"/>
      <c r="F2" s="98"/>
      <c r="G2" s="98"/>
      <c r="H2" s="98"/>
      <c r="I2" s="98"/>
      <c r="J2" s="98"/>
      <c r="K2" s="98"/>
      <c r="L2" s="98"/>
      <c r="M2" s="98"/>
      <c r="N2" s="100"/>
    </row>
    <row r="3" spans="1:14" ht="20.25">
      <c r="A3" s="95">
        <f>Reporting_Year</f>
        <v>2024</v>
      </c>
      <c r="B3" s="207"/>
      <c r="C3" s="207"/>
      <c r="D3" s="207"/>
      <c r="E3" s="207"/>
      <c r="F3" s="207"/>
      <c r="G3" s="207"/>
      <c r="H3" s="207"/>
      <c r="I3" s="207"/>
      <c r="J3" s="207"/>
      <c r="K3" s="207"/>
      <c r="L3" s="207"/>
      <c r="M3" s="207"/>
      <c r="N3" s="101"/>
    </row>
    <row r="6" spans="1:14">
      <c r="B6" s="194" t="s">
        <v>17</v>
      </c>
      <c r="C6" s="210">
        <f>INDEX(O63:U91,MATCH(Licensee,Data!B63:B91,0),MATCH(Reporting_Year,Data!O62:U62,0))</f>
        <v>5.2833944000000001E-2</v>
      </c>
      <c r="F6" s="753" t="s">
        <v>18</v>
      </c>
      <c r="G6" s="34"/>
      <c r="H6" s="187" t="s">
        <v>19</v>
      </c>
      <c r="I6" s="209" t="s">
        <v>20</v>
      </c>
    </row>
    <row r="7" spans="1:14">
      <c r="B7" s="194" t="s">
        <v>21</v>
      </c>
      <c r="C7" s="210">
        <f>SUMIF(Data!$B$62:$B$91,'RFPR cover'!C7,Data!$C$62:$C$91)</f>
        <v>0.5</v>
      </c>
      <c r="F7" s="211">
        <v>0.1</v>
      </c>
      <c r="G7" s="72"/>
      <c r="H7" s="187" t="s">
        <v>22</v>
      </c>
      <c r="I7" s="188" t="s">
        <v>23</v>
      </c>
    </row>
    <row r="8" spans="1:14">
      <c r="B8" s="194" t="s">
        <v>24</v>
      </c>
      <c r="C8" s="208">
        <f>SUMIF(Data!$B$62:$B$91,'RFPR cover'!C7,Data!$D$62:$D$91)</f>
        <v>0.6</v>
      </c>
      <c r="H8" s="187" t="s">
        <v>25</v>
      </c>
      <c r="I8" s="188" t="s">
        <v>23</v>
      </c>
    </row>
    <row r="9" spans="1:14">
      <c r="B9" s="136" t="s">
        <v>26</v>
      </c>
      <c r="C9" s="197" t="str">
        <f>INDEX(Data!$F$63:$F$91,MATCH('RFPR cover'!$C$7,Data!$B$63:$B$91,0),0)</f>
        <v>£m 20/21</v>
      </c>
      <c r="H9" s="187" t="s">
        <v>27</v>
      </c>
      <c r="I9" s="188" t="s">
        <v>23</v>
      </c>
    </row>
    <row r="10" spans="1:14">
      <c r="B10" s="136" t="s">
        <v>28</v>
      </c>
      <c r="C10" s="269">
        <v>0</v>
      </c>
      <c r="H10" s="187" t="s">
        <v>29</v>
      </c>
      <c r="I10" s="188" t="s">
        <v>23</v>
      </c>
    </row>
    <row r="11" spans="1:14">
      <c r="B11" s="136" t="s">
        <v>30</v>
      </c>
      <c r="C11" s="269">
        <v>0</v>
      </c>
      <c r="H11" s="117"/>
      <c r="I11" s="266"/>
    </row>
    <row r="13" spans="1:14">
      <c r="A13" s="7"/>
      <c r="B13" s="212" t="s">
        <v>31</v>
      </c>
      <c r="C13" s="158">
        <v>0.19</v>
      </c>
      <c r="D13" s="227">
        <v>0.19</v>
      </c>
      <c r="E13" s="227">
        <v>0.19</v>
      </c>
      <c r="F13" s="227">
        <v>0.19</v>
      </c>
      <c r="G13" s="158">
        <v>0.19</v>
      </c>
      <c r="H13" s="158">
        <v>0.25</v>
      </c>
      <c r="I13" s="158">
        <v>0.25</v>
      </c>
      <c r="J13" s="158">
        <v>0.25</v>
      </c>
      <c r="K13" s="157">
        <v>0.25</v>
      </c>
      <c r="L13" s="157">
        <v>0.25</v>
      </c>
      <c r="M13" s="157">
        <v>0.25</v>
      </c>
      <c r="N13" s="157">
        <v>0.25</v>
      </c>
    </row>
    <row r="15" spans="1:14">
      <c r="A15" s="1" t="s">
        <v>32</v>
      </c>
      <c r="B15" s="752" t="s">
        <v>33</v>
      </c>
    </row>
    <row r="16" spans="1:14">
      <c r="B16" s="212" t="s">
        <v>34</v>
      </c>
      <c r="C16" s="213" t="str">
        <f t="shared" ref="C16:N16" si="0">IF(VALUE(C18)&lt;=Reporting_Year,"Actual","Forecast")</f>
        <v>Actual</v>
      </c>
      <c r="D16" s="213" t="str">
        <f t="shared" si="0"/>
        <v>Actual</v>
      </c>
      <c r="E16" s="213" t="str">
        <f t="shared" si="0"/>
        <v>Actual</v>
      </c>
      <c r="F16" s="213" t="str">
        <f t="shared" si="0"/>
        <v>Actual</v>
      </c>
      <c r="G16" s="213" t="str">
        <f t="shared" si="0"/>
        <v>Actual</v>
      </c>
      <c r="H16" s="213" t="str">
        <f t="shared" si="0"/>
        <v>Actual</v>
      </c>
      <c r="I16" s="213" t="str">
        <f t="shared" si="0"/>
        <v>Forecast</v>
      </c>
      <c r="J16" s="213" t="str">
        <f t="shared" si="0"/>
        <v>Forecast</v>
      </c>
      <c r="K16" s="213" t="str">
        <f t="shared" si="0"/>
        <v>Forecast</v>
      </c>
      <c r="L16" s="213" t="str">
        <f t="shared" si="0"/>
        <v>Forecast</v>
      </c>
      <c r="M16" s="213" t="str">
        <f t="shared" si="0"/>
        <v>Forecast</v>
      </c>
      <c r="N16" s="213" t="str">
        <f t="shared" si="0"/>
        <v>Forecast</v>
      </c>
    </row>
    <row r="17" spans="1:22">
      <c r="B17" s="212" t="s">
        <v>35</v>
      </c>
      <c r="C17" s="214">
        <v>43555</v>
      </c>
      <c r="D17" s="215">
        <v>43921</v>
      </c>
      <c r="E17" s="215">
        <v>44286</v>
      </c>
      <c r="F17" s="215">
        <v>44651</v>
      </c>
      <c r="G17" s="215">
        <v>45016</v>
      </c>
      <c r="H17" s="214">
        <v>45382</v>
      </c>
      <c r="I17" s="214">
        <v>45747</v>
      </c>
      <c r="J17" s="214">
        <v>46112</v>
      </c>
      <c r="K17" s="214">
        <v>46477</v>
      </c>
      <c r="L17" s="214">
        <v>46843</v>
      </c>
      <c r="M17" s="214">
        <v>47208</v>
      </c>
      <c r="N17" s="214">
        <v>47573</v>
      </c>
    </row>
    <row r="18" spans="1:22">
      <c r="B18" s="212" t="s">
        <v>36</v>
      </c>
      <c r="C18" s="216">
        <v>2019</v>
      </c>
      <c r="D18" s="217">
        <v>2020</v>
      </c>
      <c r="E18" s="216">
        <v>2021</v>
      </c>
      <c r="F18" s="217">
        <v>2022</v>
      </c>
      <c r="G18" s="216">
        <v>2023</v>
      </c>
      <c r="H18" s="217">
        <v>2024</v>
      </c>
      <c r="I18" s="216">
        <v>2025</v>
      </c>
      <c r="J18" s="217">
        <v>2026</v>
      </c>
      <c r="K18" s="216">
        <v>2027</v>
      </c>
      <c r="L18" s="217">
        <v>2028</v>
      </c>
      <c r="M18" s="216">
        <v>2029</v>
      </c>
      <c r="N18" s="217">
        <v>2030</v>
      </c>
    </row>
    <row r="19" spans="1:22">
      <c r="B19" s="218" t="s">
        <v>37</v>
      </c>
      <c r="C19" s="263">
        <v>283.30833333333334</v>
      </c>
      <c r="D19" s="264">
        <v>290.64166666666665</v>
      </c>
      <c r="E19" s="264">
        <v>294.16666666666669</v>
      </c>
      <c r="F19" s="264">
        <v>307.32821397646848</v>
      </c>
      <c r="G19" s="264">
        <v>334.29358180068937</v>
      </c>
      <c r="H19" s="264">
        <v>352.83651735739545</v>
      </c>
      <c r="I19" s="760">
        <v>362.76075213561671</v>
      </c>
      <c r="J19" s="760">
        <v>368.42590945714551</v>
      </c>
      <c r="K19" s="276">
        <f t="shared" ref="K19:N21" si="1">J19*(1+K$22)</f>
        <v>375.7944276462884</v>
      </c>
      <c r="L19" s="276">
        <f t="shared" si="1"/>
        <v>383.31031619921418</v>
      </c>
      <c r="M19" s="276">
        <f t="shared" si="1"/>
        <v>390.97652252319847</v>
      </c>
      <c r="N19" s="276">
        <f t="shared" si="1"/>
        <v>398.79605297366243</v>
      </c>
      <c r="O19" s="712"/>
    </row>
    <row r="20" spans="1:22">
      <c r="B20" s="218" t="s">
        <v>38</v>
      </c>
      <c r="C20" s="263">
        <v>286.64999999999998</v>
      </c>
      <c r="D20" s="264">
        <v>292.60000000000002</v>
      </c>
      <c r="E20" s="264">
        <v>298.42363263445759</v>
      </c>
      <c r="F20" s="264">
        <v>319.91658048382931</v>
      </c>
      <c r="G20" s="264">
        <v>346.54233410371501</v>
      </c>
      <c r="H20" s="760">
        <v>358.36090841458258</v>
      </c>
      <c r="I20" s="760">
        <v>365.56379133332484</v>
      </c>
      <c r="J20" s="760">
        <v>371.14521859707907</v>
      </c>
      <c r="K20" s="276">
        <f t="shared" si="1"/>
        <v>378.56812296902064</v>
      </c>
      <c r="L20" s="276">
        <f t="shared" si="1"/>
        <v>386.13948542840103</v>
      </c>
      <c r="M20" s="276">
        <f t="shared" si="1"/>
        <v>393.86227513696906</v>
      </c>
      <c r="N20" s="276">
        <f t="shared" si="1"/>
        <v>401.73952063970847</v>
      </c>
      <c r="O20" s="712"/>
    </row>
    <row r="21" spans="1:22">
      <c r="A21" s="7"/>
      <c r="B21" s="111" t="s">
        <v>39</v>
      </c>
      <c r="C21" s="265">
        <v>106.43333333333334</v>
      </c>
      <c r="D21" s="265">
        <v>108.24166666666663</v>
      </c>
      <c r="E21" s="265">
        <v>109.10833333333335</v>
      </c>
      <c r="F21" s="265">
        <v>113.11666666666667</v>
      </c>
      <c r="G21" s="265">
        <v>123.04166666666664</v>
      </c>
      <c r="H21" s="265">
        <v>129.86666666666665</v>
      </c>
      <c r="I21" s="761">
        <v>133.51942715619251</v>
      </c>
      <c r="J21" s="761">
        <v>135.60457158228363</v>
      </c>
      <c r="K21" s="276">
        <f t="shared" si="1"/>
        <v>138.31666301392931</v>
      </c>
      <c r="L21" s="276">
        <f t="shared" si="1"/>
        <v>141.08299627420791</v>
      </c>
      <c r="M21" s="276">
        <f t="shared" si="1"/>
        <v>143.90465619969208</v>
      </c>
      <c r="N21" s="276">
        <f t="shared" si="1"/>
        <v>146.78274932368592</v>
      </c>
      <c r="O21" s="712"/>
      <c r="U21" s="109"/>
      <c r="V21" s="109"/>
    </row>
    <row r="22" spans="1:22" ht="15">
      <c r="A22" s="7"/>
      <c r="B22" s="212" t="s">
        <v>40</v>
      </c>
      <c r="C22" s="111"/>
      <c r="D22" s="111"/>
      <c r="E22" s="111"/>
      <c r="F22" s="111"/>
      <c r="G22" s="111"/>
      <c r="H22" s="112"/>
      <c r="I22" s="111"/>
      <c r="J22" s="111"/>
      <c r="K22" s="158">
        <v>0.02</v>
      </c>
      <c r="L22" s="158">
        <v>0.02</v>
      </c>
      <c r="M22" s="158">
        <v>0.02</v>
      </c>
      <c r="N22" s="158">
        <v>0.02</v>
      </c>
      <c r="O22" s="123" t="s">
        <v>41</v>
      </c>
      <c r="U22" s="109"/>
      <c r="V22" s="109"/>
    </row>
    <row r="23" spans="1:22" ht="15">
      <c r="A23" s="7"/>
      <c r="H23" s="110"/>
      <c r="K23" s="715"/>
      <c r="L23" s="715"/>
      <c r="M23" s="715"/>
      <c r="N23" s="715"/>
      <c r="O23" s="123"/>
      <c r="U23" s="109"/>
      <c r="V23" s="109"/>
    </row>
    <row r="24" spans="1:22">
      <c r="A24" s="716" t="s">
        <v>42</v>
      </c>
      <c r="B24" s="752" t="s">
        <v>43</v>
      </c>
      <c r="U24" s="109"/>
      <c r="V24" s="109"/>
    </row>
    <row r="25" spans="1:22">
      <c r="A25" s="7"/>
      <c r="B25" s="212" t="s">
        <v>34</v>
      </c>
      <c r="C25" s="213" t="str">
        <f t="shared" ref="C25:N25" si="2">IF(VALUE(C27)&lt;=Reporting_Year,"Actual","Forecast")</f>
        <v>Actual</v>
      </c>
      <c r="D25" s="213" t="str">
        <f t="shared" si="2"/>
        <v>Actual</v>
      </c>
      <c r="E25" s="213" t="str">
        <f t="shared" si="2"/>
        <v>Actual</v>
      </c>
      <c r="F25" s="213" t="str">
        <f t="shared" si="2"/>
        <v>Actual</v>
      </c>
      <c r="G25" s="213" t="str">
        <f t="shared" si="2"/>
        <v>Actual</v>
      </c>
      <c r="H25" s="213" t="str">
        <f t="shared" si="2"/>
        <v>Actual</v>
      </c>
      <c r="I25" s="213" t="str">
        <f t="shared" si="2"/>
        <v>Forecast</v>
      </c>
      <c r="J25" s="213" t="str">
        <f t="shared" si="2"/>
        <v>Forecast</v>
      </c>
      <c r="K25" s="213" t="str">
        <f t="shared" si="2"/>
        <v>Forecast</v>
      </c>
      <c r="L25" s="213" t="str">
        <f t="shared" si="2"/>
        <v>Forecast</v>
      </c>
      <c r="M25" s="213" t="str">
        <f t="shared" si="2"/>
        <v>Forecast</v>
      </c>
      <c r="N25" s="213" t="str">
        <f t="shared" si="2"/>
        <v>Forecast</v>
      </c>
      <c r="U25" s="109"/>
      <c r="V25" s="109"/>
    </row>
    <row r="26" spans="1:22">
      <c r="A26" s="7"/>
      <c r="B26" s="212" t="s">
        <v>35</v>
      </c>
      <c r="C26" s="214">
        <v>43555</v>
      </c>
      <c r="D26" s="215">
        <v>43921</v>
      </c>
      <c r="E26" s="215">
        <v>44286</v>
      </c>
      <c r="F26" s="215">
        <v>44651</v>
      </c>
      <c r="G26" s="215">
        <v>45016</v>
      </c>
      <c r="H26" s="214">
        <v>45382</v>
      </c>
      <c r="I26" s="214">
        <v>45747</v>
      </c>
      <c r="J26" s="214">
        <v>46112</v>
      </c>
      <c r="K26" s="214">
        <v>46477</v>
      </c>
      <c r="L26" s="214">
        <v>46843</v>
      </c>
      <c r="M26" s="214">
        <v>47208</v>
      </c>
      <c r="N26" s="214">
        <v>47573</v>
      </c>
      <c r="U26" s="109"/>
      <c r="V26" s="109"/>
    </row>
    <row r="27" spans="1:22">
      <c r="A27" s="7"/>
      <c r="B27" s="212" t="s">
        <v>36</v>
      </c>
      <c r="C27" s="216">
        <v>2019</v>
      </c>
      <c r="D27" s="217">
        <v>2020</v>
      </c>
      <c r="E27" s="216">
        <v>2021</v>
      </c>
      <c r="F27" s="217">
        <v>2022</v>
      </c>
      <c r="G27" s="216">
        <v>2023</v>
      </c>
      <c r="H27" s="217">
        <v>2024</v>
      </c>
      <c r="I27" s="216">
        <v>2025</v>
      </c>
      <c r="J27" s="217">
        <v>2026</v>
      </c>
      <c r="K27" s="739">
        <v>2027</v>
      </c>
      <c r="L27" s="740">
        <v>2028</v>
      </c>
      <c r="M27" s="739">
        <v>2029</v>
      </c>
      <c r="N27" s="740">
        <v>2030</v>
      </c>
      <c r="U27" s="109"/>
      <c r="V27" s="109"/>
    </row>
    <row r="28" spans="1:22">
      <c r="A28" s="7"/>
      <c r="B28" s="218" t="s">
        <v>37</v>
      </c>
      <c r="C28" s="263">
        <v>283.30833333333334</v>
      </c>
      <c r="D28" s="264">
        <v>290.64166666666665</v>
      </c>
      <c r="E28" s="264">
        <v>294.16666666666669</v>
      </c>
      <c r="F28" s="264">
        <v>311.1583333333333</v>
      </c>
      <c r="G28" s="264">
        <v>351.2166666666667</v>
      </c>
      <c r="H28" s="264">
        <v>376.71650221738128</v>
      </c>
      <c r="I28" s="760">
        <v>387.31240946880854</v>
      </c>
      <c r="J28" s="762">
        <v>393.36098478822686</v>
      </c>
      <c r="K28" s="763">
        <v>400.10713081968424</v>
      </c>
      <c r="L28" s="764">
        <v>407.86168457870718</v>
      </c>
      <c r="M28" s="741">
        <f>L28*(1+M$22)</f>
        <v>416.01891827028135</v>
      </c>
      <c r="N28" s="741">
        <f t="shared" ref="N28:N29" si="3">M28*(1+N$22)</f>
        <v>424.33929663568699</v>
      </c>
      <c r="O28" s="712"/>
      <c r="U28" s="109"/>
      <c r="V28" s="109"/>
    </row>
    <row r="29" spans="1:22">
      <c r="A29" s="7"/>
      <c r="B29" s="212" t="s">
        <v>38</v>
      </c>
      <c r="C29" s="263">
        <v>286.64999999999998</v>
      </c>
      <c r="D29" s="264">
        <v>292.60000000000002</v>
      </c>
      <c r="E29" s="264">
        <v>299</v>
      </c>
      <c r="F29" s="264">
        <v>329.05</v>
      </c>
      <c r="G29" s="264">
        <v>369.68596214511041</v>
      </c>
      <c r="H29" s="760">
        <v>382.61478420795106</v>
      </c>
      <c r="I29" s="760">
        <v>390.30515843381772</v>
      </c>
      <c r="J29" s="762">
        <v>396.53092678776676</v>
      </c>
      <c r="K29" s="763">
        <v>403.89717347988523</v>
      </c>
      <c r="L29" s="764">
        <v>411.56717534019282</v>
      </c>
      <c r="M29" s="741">
        <f t="shared" ref="M29" si="4">L29*(1+M$22)</f>
        <v>419.79851884699667</v>
      </c>
      <c r="N29" s="741">
        <f t="shared" si="3"/>
        <v>428.19448922393661</v>
      </c>
      <c r="O29" s="712"/>
      <c r="U29" s="109"/>
      <c r="V29" s="109"/>
    </row>
    <row r="31" spans="1:22" ht="14.25" customHeight="1">
      <c r="B31" s="752" t="s">
        <v>44</v>
      </c>
      <c r="M31" s="10"/>
    </row>
    <row r="32" spans="1:22" ht="48.6" customHeight="1">
      <c r="E32" s="213" t="str">
        <f>IF(E33&lt;='RFPR cover'!$C$9,"Actuals","Forecast")</f>
        <v>Actuals</v>
      </c>
      <c r="F32" s="213" t="str">
        <f>IF(F33&lt;='RFPR cover'!$C$9,"Actuals","Forecast")</f>
        <v>Actuals</v>
      </c>
      <c r="G32" s="213" t="str">
        <f>IF(G33&lt;='RFPR cover'!$C$9,"Actuals","Forecast")</f>
        <v>Actuals</v>
      </c>
      <c r="H32" s="213" t="str">
        <f>IF(H33&lt;='RFPR cover'!$C$9,"Actuals","Forecast")</f>
        <v>Actuals</v>
      </c>
      <c r="I32" s="213" t="str">
        <f>IF(I33&lt;='RFPR cover'!$C$9,"Actuals","Forecast")</f>
        <v>Forecast</v>
      </c>
      <c r="J32" s="213" t="str">
        <f>IF(J33&lt;='RFPR cover'!$C$9,"Actuals","Forecast")</f>
        <v>Forecast</v>
      </c>
      <c r="K32" s="213" t="str">
        <f>IF(K33&lt;='RFPR cover'!$C$9,"Actuals","Forecast")</f>
        <v>Forecast</v>
      </c>
      <c r="L32" s="213" t="str">
        <f>IF(L33&lt;='RFPR cover'!$C$9,"Actuals","Forecast")</f>
        <v>Forecast</v>
      </c>
      <c r="M32" s="117"/>
      <c r="N32" s="303"/>
      <c r="O32" s="303"/>
      <c r="P32" s="303"/>
      <c r="Q32" s="303"/>
      <c r="R32" s="303"/>
      <c r="S32" s="303"/>
    </row>
    <row r="33" spans="1:23" ht="58.5" customHeight="1">
      <c r="E33" s="137">
        <v>2021</v>
      </c>
      <c r="F33" s="138">
        <f t="shared" ref="F33:L33" si="5">E33+1</f>
        <v>2022</v>
      </c>
      <c r="G33" s="138">
        <f t="shared" si="5"/>
        <v>2023</v>
      </c>
      <c r="H33" s="138">
        <f t="shared" si="5"/>
        <v>2024</v>
      </c>
      <c r="I33" s="138">
        <f t="shared" si="5"/>
        <v>2025</v>
      </c>
      <c r="J33" s="138">
        <f t="shared" si="5"/>
        <v>2026</v>
      </c>
      <c r="K33" s="138">
        <f t="shared" si="5"/>
        <v>2027</v>
      </c>
      <c r="L33" s="138">
        <f t="shared" si="5"/>
        <v>2028</v>
      </c>
      <c r="M33" s="117"/>
    </row>
    <row r="34" spans="1:23" ht="71.099999999999994" customHeight="1">
      <c r="A34" s="108"/>
      <c r="D34" s="219" t="s">
        <v>45</v>
      </c>
      <c r="E34" s="731">
        <f>IF(SectorCov="ED2",E28/INDEX($C$28:$N$28,MATCH($E$27,$C$27:$N$27,0)),E19/INDEX($C$19:$N$19,MATCH($C$18,$C$18:$N$18,0)))</f>
        <v>1</v>
      </c>
      <c r="F34" s="731">
        <f t="shared" ref="F34:L34" si="6">IF(SectorCov="ED2",F28/INDEX($C$28:$N$28,MATCH($E$27,$C$27:$N$27,0)),F19/INDEX($C$19:$N$19,MATCH($C$18,$C$18:$N$18,0)))</f>
        <v>1.0577620396600564</v>
      </c>
      <c r="G34" s="731">
        <f t="shared" si="6"/>
        <v>1.1939376770538244</v>
      </c>
      <c r="H34" s="731">
        <f t="shared" si="6"/>
        <v>1.2806226704273584</v>
      </c>
      <c r="I34" s="731">
        <f t="shared" si="6"/>
        <v>1.3166427517353263</v>
      </c>
      <c r="J34" s="731">
        <f t="shared" si="6"/>
        <v>1.3372044808664936</v>
      </c>
      <c r="K34" s="731">
        <f t="shared" si="6"/>
        <v>1.3601375551943939</v>
      </c>
      <c r="L34" s="731">
        <f t="shared" si="6"/>
        <v>1.3864986444601943</v>
      </c>
      <c r="M34" s="717"/>
    </row>
    <row r="35" spans="1:23" ht="51">
      <c r="A35" s="108"/>
      <c r="B35" s="108"/>
      <c r="C35" s="108"/>
      <c r="D35" s="125" t="s">
        <v>46</v>
      </c>
      <c r="E35" s="731">
        <f>IF(Sector="ED2",INDEX(Data!$C$28:$N$28,MATCH(E$33,Data!$C$27:$N$27,0))/INDEX(Data!$C$28:$N$28,MATCH(E$33-1,Data!$C$27:$N$27,0)),INDEX(Data!$C$19:$N$19,MATCH(E$33,Data!$C$18:$N$18,0))/INDEX(Data!$C$19:$N$19,MATCH(E$33-1,Data!$C$18:$N$18,0)))</f>
        <v>1.0121283367262093</v>
      </c>
      <c r="F35" s="731">
        <f>IF(Sector="ED2",INDEX(Data!$C$28:$N$28,MATCH(F$33,Data!$C$27:$N$27,0))/INDEX(Data!$C$28:$N$28,MATCH(F$33-1,Data!$C$27:$N$27,0)),INDEX(Data!$C$19:$N$19,MATCH(F$33,Data!$C$18:$N$18,0))/INDEX(Data!$C$19:$N$19,MATCH(F$33-1,Data!$C$18:$N$18,0)))</f>
        <v>1.0577620396600564</v>
      </c>
      <c r="G35" s="731">
        <f>IF(Sector="ED2",INDEX(Data!$C$28:$N$28,MATCH(G$33,Data!$C$27:$N$27,0))/INDEX(Data!$C$28:$N$28,MATCH(G$33-1,Data!$C$27:$N$27,0)),INDEX(Data!$C$19:$N$19,MATCH(G$33,Data!$C$18:$N$18,0))/INDEX(Data!$C$19:$N$19,MATCH(G$33-1,Data!$C$18:$N$18,0)))</f>
        <v>1.1287393877714991</v>
      </c>
      <c r="H35" s="731">
        <f>IF(Sector="ED2",INDEX(Data!$C$28:$N$28,MATCH(H$33,Data!$C$27:$N$27,0))/INDEX(Data!$C$28:$N$28,MATCH(H$33-1,Data!$C$27:$N$27,0)),INDEX(Data!$C$19:$N$19,MATCH(H$33,Data!$C$18:$N$18,0))/INDEX(Data!$C$19:$N$19,MATCH(H$33-1,Data!$C$18:$N$18,0)))</f>
        <v>1.0726042866721812</v>
      </c>
      <c r="I35" s="731">
        <f>IF(Sector="ED2",INDEX(Data!$C$28:$N$28,MATCH(I$33,Data!$C$27:$N$27,0))/INDEX(Data!$C$28:$N$28,MATCH(I$33-1,Data!$C$27:$N$27,0)),INDEX(Data!$C$19:$N$19,MATCH(I$33,Data!$C$18:$N$18,0))/INDEX(Data!$C$19:$N$19,MATCH(I$33-1,Data!$C$18:$N$18,0)))</f>
        <v>1.0281270058228376</v>
      </c>
      <c r="J35" s="731">
        <f>IF(Sector="ED2",INDEX(Data!$C$28:$N$28,MATCH(J$33,Data!$C$27:$N$27,0))/INDEX(Data!$C$28:$N$28,MATCH(J$33-1,Data!$C$27:$N$27,0)),INDEX(Data!$C$19:$N$19,MATCH(J$33,Data!$C$18:$N$18,0))/INDEX(Data!$C$19:$N$19,MATCH(J$33-1,Data!$C$18:$N$18,0)))</f>
        <v>1.015616786789026</v>
      </c>
      <c r="K35" s="731">
        <f>IF(Sector="ED2",INDEX(Data!$C$28:$N$28,MATCH(K$33,Data!$C$27:$N$27,0))/INDEX(Data!$C$28:$N$28,MATCH(K$33-1,Data!$C$27:$N$27,0)),INDEX(Data!$C$19:$N$19,MATCH(K$33,Data!$C$18:$N$18,0))/INDEX(Data!$C$19:$N$19,MATCH(K$33-1,Data!$C$18:$N$18,0)))</f>
        <v>1.017150013072825</v>
      </c>
      <c r="L35" s="731">
        <f>IF(Sector="ED2",INDEX(Data!$C$28:$N$28,MATCH(L$33,Data!$C$27:$N$27,0))/INDEX(Data!$C$28:$N$28,MATCH(L$33-1,Data!$C$27:$N$27,0)),INDEX(Data!$C$19:$N$19,MATCH(L$33,Data!$C$18:$N$18,0))/INDEX(Data!$C$19:$N$19,MATCH(L$33-1,Data!$C$18:$N$18,0)))</f>
        <v>1.0193811935896679</v>
      </c>
      <c r="M35" s="117"/>
      <c r="N35" s="110"/>
      <c r="O35" s="110"/>
      <c r="P35" s="110"/>
      <c r="Q35" s="110"/>
      <c r="R35" s="110"/>
      <c r="S35" s="110"/>
      <c r="T35" s="110"/>
      <c r="U35" s="110"/>
      <c r="V35" s="110"/>
      <c r="W35" s="110"/>
    </row>
    <row r="36" spans="1:23" ht="63.75">
      <c r="A36" s="108"/>
      <c r="D36" s="125" t="s">
        <v>47</v>
      </c>
      <c r="E36" s="731">
        <f>IF(SectorCov="ED2",INDEX(Data!$C$29:$N$29,MATCH(E$33,Data!$C$27:$N$27,0))/Data!$E$28,INDEX(Data!$C$20:$N$20,MATCH(E$33,Data!$C$18:$N$18,0))/Data!$C$19)</f>
        <v>1.0164305949008499</v>
      </c>
      <c r="F36" s="731">
        <f>IF(SectorCov="ED2",INDEX(Data!$C$29:$N$29,MATCH(F$33,Data!$C$27:$N$27,0))/Data!$E$28,INDEX(Data!$C$20:$N$20,MATCH(F$33,Data!$C$18:$N$18,0))/Data!$C$19)</f>
        <v>1.1185835694050992</v>
      </c>
      <c r="G36" s="731">
        <f>IF(SectorCov="ED2",INDEX(Data!$C$29:$N$29,MATCH(G$33,Data!$C$27:$N$27,0))/Data!$E$28,INDEX(Data!$C$20:$N$20,MATCH(G$33,Data!$C$18:$N$18,0))/Data!$C$19)</f>
        <v>1.2567228174904603</v>
      </c>
      <c r="H36" s="731">
        <f>IF(SectorCov="ED2",INDEX(Data!$C$29:$N$29,MATCH(H$33,Data!$C$27:$N$27,0))/Data!$E$28,INDEX(Data!$C$20:$N$20,MATCH(H$33,Data!$C$18:$N$18,0))/Data!$C$19)</f>
        <v>1.3006734873924681</v>
      </c>
      <c r="I36" s="731">
        <f>IF(SectorCov="ED2",INDEX(Data!$C$29:$N$29,MATCH(I$33,Data!$C$27:$N$27,0))/Data!$E$28,INDEX(Data!$C$20:$N$20,MATCH(I$33,Data!$C$18:$N$18,0))/Data!$C$19)</f>
        <v>1.3268164026078788</v>
      </c>
      <c r="J36" s="731">
        <f>IF(SectorCov="ED2",INDEX(Data!$C$29:$N$29,MATCH(J$33,Data!$C$27:$N$27,0))/Data!$E$28,INDEX(Data!$C$20:$N$20,MATCH(J$33,Data!$C$18:$N$18,0))/Data!$C$19)</f>
        <v>1.3479804876637962</v>
      </c>
      <c r="K36" s="731">
        <f>IF(SectorCov="ED2",INDEX(Data!$C$29:$N$29,MATCH(K$33,Data!$C$27:$N$27,0))/Data!$E$28,INDEX(Data!$C$20:$N$20,MATCH(K$33,Data!$C$18:$N$18,0))/Data!$C$19)</f>
        <v>1.3730215529061254</v>
      </c>
      <c r="L36" s="731">
        <f>IF(SectorCov="ED2",INDEX(Data!$C$29:$N$29,MATCH(L$33,Data!$C$27:$N$27,0))/Data!$E$28,INDEX(Data!$C$20:$N$20,MATCH(L$33,Data!$C$18:$N$18,0))/Data!$C$19)</f>
        <v>1.3990952136210519</v>
      </c>
      <c r="M36" s="117"/>
    </row>
    <row r="37" spans="1:23" ht="54" customHeight="1">
      <c r="A37" s="108"/>
      <c r="B37" s="817" t="s">
        <v>48</v>
      </c>
      <c r="C37" s="817"/>
      <c r="D37" s="817"/>
      <c r="E37" s="817"/>
      <c r="F37" s="817"/>
      <c r="G37" s="817"/>
      <c r="H37" s="817"/>
      <c r="I37" s="817"/>
      <c r="J37" s="817"/>
      <c r="K37" s="817"/>
      <c r="L37" s="817"/>
      <c r="M37" s="817"/>
      <c r="N37" s="817"/>
      <c r="O37" s="817"/>
      <c r="P37" s="817"/>
      <c r="Q37" s="37"/>
    </row>
    <row r="38" spans="1:23">
      <c r="B38" s="88"/>
      <c r="C38" s="108"/>
      <c r="D38" s="108"/>
      <c r="E38" s="108"/>
      <c r="F38" s="108"/>
      <c r="G38" s="108"/>
      <c r="H38" s="108"/>
      <c r="I38" s="108"/>
      <c r="J38" s="108"/>
    </row>
    <row r="39" spans="1:23">
      <c r="B39" s="53"/>
      <c r="C39" s="53"/>
      <c r="D39" s="38"/>
      <c r="E39" s="53"/>
      <c r="F39" s="54"/>
      <c r="G39" s="55"/>
      <c r="H39" s="55"/>
      <c r="I39" s="55"/>
      <c r="J39" s="56"/>
      <c r="K39" s="56"/>
      <c r="L39" s="38"/>
      <c r="M39" s="38"/>
      <c r="N39" s="38"/>
      <c r="O39" s="38"/>
      <c r="P39" s="38"/>
      <c r="Q39" s="38"/>
      <c r="R39" s="38"/>
      <c r="S39" s="38"/>
      <c r="T39" s="38"/>
    </row>
    <row r="40" spans="1:23">
      <c r="B40" s="52" t="s">
        <v>49</v>
      </c>
      <c r="C40" s="34"/>
      <c r="I40" s="14"/>
    </row>
    <row r="41" spans="1:23">
      <c r="C41" s="137">
        <v>2022</v>
      </c>
      <c r="D41" s="138">
        <f t="shared" ref="D41" si="7">C41+1</f>
        <v>2023</v>
      </c>
      <c r="E41" s="138">
        <f t="shared" ref="E41" si="8">D41+1</f>
        <v>2024</v>
      </c>
      <c r="F41" s="138">
        <f t="shared" ref="F41" si="9">E41+1</f>
        <v>2025</v>
      </c>
      <c r="G41" s="138">
        <f t="shared" ref="G41" si="10">F41+1</f>
        <v>2026</v>
      </c>
      <c r="H41" s="138">
        <f t="shared" ref="H41" si="11">G41+1</f>
        <v>2027</v>
      </c>
      <c r="I41" s="138">
        <f t="shared" ref="I41" si="12">H41+1</f>
        <v>2028</v>
      </c>
    </row>
    <row r="42" spans="1:23">
      <c r="B42" s="135" t="s">
        <v>50</v>
      </c>
      <c r="C42" s="126"/>
      <c r="D42" s="127"/>
      <c r="E42" s="119">
        <v>3.04E-2</v>
      </c>
      <c r="F42" s="119">
        <v>3.1099999999999999E-2</v>
      </c>
      <c r="G42" s="119">
        <v>3.1699999999999999E-2</v>
      </c>
      <c r="H42" s="119">
        <v>3.1800000000000002E-2</v>
      </c>
      <c r="I42" s="120">
        <v>3.2000000000000001E-2</v>
      </c>
      <c r="J42" s="712"/>
    </row>
    <row r="43" spans="1:23">
      <c r="B43" s="698" t="s">
        <v>51</v>
      </c>
      <c r="C43" s="699"/>
      <c r="D43" s="700"/>
      <c r="E43" s="701">
        <v>3.04E-2</v>
      </c>
      <c r="F43" s="701">
        <v>3.1099999999999999E-2</v>
      </c>
      <c r="G43" s="701">
        <v>3.1699999999999999E-2</v>
      </c>
      <c r="H43" s="701">
        <v>3.1800000000000002E-2</v>
      </c>
      <c r="I43" s="702">
        <v>3.2000000000000001E-2</v>
      </c>
      <c r="J43" s="712"/>
    </row>
    <row r="44" spans="1:23">
      <c r="B44" s="698" t="s">
        <v>52</v>
      </c>
      <c r="C44" s="699"/>
      <c r="D44" s="700"/>
      <c r="E44" s="701">
        <v>3.04E-2</v>
      </c>
      <c r="F44" s="701">
        <v>3.1099999999999999E-2</v>
      </c>
      <c r="G44" s="701">
        <v>3.1699999999999999E-2</v>
      </c>
      <c r="H44" s="701">
        <v>3.1800000000000002E-2</v>
      </c>
      <c r="I44" s="702">
        <v>3.2000000000000001E-2</v>
      </c>
      <c r="J44" s="712"/>
    </row>
    <row r="45" spans="1:23">
      <c r="A45" s="113"/>
      <c r="B45" s="129" t="s">
        <v>53</v>
      </c>
      <c r="C45" s="128"/>
      <c r="D45" s="73"/>
      <c r="E45" s="121">
        <v>3.1E-2</v>
      </c>
      <c r="F45" s="121">
        <v>3.1699999999999999E-2</v>
      </c>
      <c r="G45" s="121">
        <v>3.2300000000000002E-2</v>
      </c>
      <c r="H45" s="121">
        <v>3.2399999999999998E-2</v>
      </c>
      <c r="I45" s="51">
        <v>3.2599999999999997E-2</v>
      </c>
      <c r="J45" s="712"/>
    </row>
    <row r="46" spans="1:23">
      <c r="A46" s="113"/>
      <c r="B46" s="129" t="s">
        <v>54</v>
      </c>
      <c r="C46" s="129">
        <v>1.8184707641684131E-2</v>
      </c>
      <c r="D46" s="121">
        <v>1.5809503423148775E-2</v>
      </c>
      <c r="E46" s="121">
        <v>1.8000565597912722E-2</v>
      </c>
      <c r="F46" s="121">
        <v>2.3276186478151731E-2</v>
      </c>
      <c r="G46" s="121">
        <v>2.7418061040625063E-2</v>
      </c>
      <c r="H46" s="73"/>
      <c r="I46" s="130"/>
      <c r="J46" s="712"/>
    </row>
    <row r="47" spans="1:23">
      <c r="A47" s="114"/>
      <c r="B47" s="129" t="s">
        <v>55</v>
      </c>
      <c r="C47" s="129">
        <v>2.0500000000000001E-2</v>
      </c>
      <c r="D47" s="121">
        <v>1.9E-2</v>
      </c>
      <c r="E47" s="121">
        <v>1.9199999999999998E-2</v>
      </c>
      <c r="F47" s="121">
        <v>2.1100000000000001E-2</v>
      </c>
      <c r="G47" s="121">
        <v>2.29E-2</v>
      </c>
      <c r="H47" s="73"/>
      <c r="I47" s="130"/>
      <c r="J47" s="712"/>
      <c r="N47" s="102"/>
      <c r="O47" s="102"/>
      <c r="P47" s="102"/>
      <c r="Q47" s="102"/>
      <c r="R47" s="102"/>
    </row>
    <row r="48" spans="1:23">
      <c r="A48" s="113"/>
      <c r="B48" s="129" t="s">
        <v>25</v>
      </c>
      <c r="C48" s="129">
        <v>2.0500000000000001E-2</v>
      </c>
      <c r="D48" s="121">
        <v>1.9E-2</v>
      </c>
      <c r="E48" s="121">
        <v>1.9199999999999998E-2</v>
      </c>
      <c r="F48" s="121">
        <v>2.1100000000000001E-2</v>
      </c>
      <c r="G48" s="121">
        <v>2.29E-2</v>
      </c>
      <c r="H48" s="73"/>
      <c r="I48" s="130"/>
      <c r="J48" s="712"/>
    </row>
    <row r="49" spans="1:23">
      <c r="A49" s="113"/>
      <c r="B49" s="129" t="s">
        <v>56</v>
      </c>
      <c r="C49" s="129">
        <v>2.1100000000000001E-2</v>
      </c>
      <c r="D49" s="121">
        <v>1.9599999999999999E-2</v>
      </c>
      <c r="E49" s="121">
        <v>1.9799999999999998E-2</v>
      </c>
      <c r="F49" s="121">
        <v>2.1700000000000001E-2</v>
      </c>
      <c r="G49" s="121">
        <v>2.35E-2</v>
      </c>
      <c r="H49" s="73"/>
      <c r="I49" s="130"/>
      <c r="J49" s="712"/>
    </row>
    <row r="50" spans="1:23">
      <c r="A50" s="113"/>
      <c r="B50" s="129" t="s">
        <v>27</v>
      </c>
      <c r="C50" s="129">
        <v>2.0500000000000001E-2</v>
      </c>
      <c r="D50" s="121">
        <v>1.9E-2</v>
      </c>
      <c r="E50" s="121">
        <v>1.9199999999999998E-2</v>
      </c>
      <c r="F50" s="121">
        <v>2.1100000000000001E-2</v>
      </c>
      <c r="G50" s="121">
        <v>2.29E-2</v>
      </c>
      <c r="H50" s="73"/>
      <c r="I50" s="130"/>
      <c r="J50" s="712"/>
    </row>
    <row r="51" spans="1:23">
      <c r="A51" s="113"/>
      <c r="B51" s="131" t="s">
        <v>29</v>
      </c>
      <c r="C51" s="131">
        <v>-5.9999999999999995E-4</v>
      </c>
      <c r="D51" s="132">
        <v>2.12E-2</v>
      </c>
      <c r="E51" s="132">
        <v>5.0099999999999999E-2</v>
      </c>
      <c r="F51" s="132">
        <v>4.7300000000000002E-2</v>
      </c>
      <c r="G51" s="132">
        <v>4.19E-2</v>
      </c>
      <c r="H51" s="133"/>
      <c r="I51" s="134"/>
      <c r="J51" s="712"/>
    </row>
    <row r="52" spans="1:23">
      <c r="C52" s="168"/>
      <c r="D52" s="168"/>
      <c r="E52" s="168"/>
      <c r="F52" s="168"/>
      <c r="G52" s="168"/>
      <c r="H52" s="14"/>
    </row>
    <row r="53" spans="1:23">
      <c r="B53" s="52" t="s">
        <v>57</v>
      </c>
      <c r="C53" s="34"/>
      <c r="D53" s="34"/>
      <c r="E53" s="34"/>
      <c r="F53" s="34"/>
      <c r="G53" s="34"/>
      <c r="I53" s="14"/>
    </row>
    <row r="54" spans="1:23">
      <c r="A54" s="12" t="s">
        <v>6</v>
      </c>
      <c r="C54" s="137">
        <v>2022</v>
      </c>
      <c r="D54" s="138">
        <f t="shared" ref="D54:I54" si="13">C54+1</f>
        <v>2023</v>
      </c>
      <c r="E54" s="138">
        <f t="shared" si="13"/>
        <v>2024</v>
      </c>
      <c r="F54" s="138">
        <f t="shared" si="13"/>
        <v>2025</v>
      </c>
      <c r="G54" s="138">
        <f t="shared" si="13"/>
        <v>2026</v>
      </c>
      <c r="H54" s="138">
        <f t="shared" si="13"/>
        <v>2027</v>
      </c>
      <c r="I54" s="138">
        <f t="shared" si="13"/>
        <v>2028</v>
      </c>
    </row>
    <row r="55" spans="1:23">
      <c r="A55" s="12" t="s">
        <v>42</v>
      </c>
      <c r="B55" s="129" t="s">
        <v>19</v>
      </c>
      <c r="C55" s="128"/>
      <c r="D55" s="73"/>
      <c r="E55" s="121">
        <v>5.2833944000000001E-2</v>
      </c>
      <c r="F55" s="121">
        <v>5.5875458000000003E-2</v>
      </c>
      <c r="G55" s="121">
        <v>5.5175427000000006E-2</v>
      </c>
      <c r="H55" s="121">
        <v>5.5320261000000003E-2</v>
      </c>
      <c r="I55" s="51">
        <v>5.5489234000000012E-2</v>
      </c>
    </row>
    <row r="56" spans="1:23">
      <c r="A56" s="12" t="s">
        <v>58</v>
      </c>
      <c r="B56" s="129" t="s">
        <v>22</v>
      </c>
      <c r="C56" s="129">
        <v>4.2439449777777784E-2</v>
      </c>
      <c r="D56" s="121">
        <v>4.2616093333333334E-2</v>
      </c>
      <c r="E56" s="121">
        <v>4.909683911111111E-2</v>
      </c>
      <c r="F56" s="121">
        <v>5.2011518222222233E-2</v>
      </c>
      <c r="G56" s="121">
        <v>5.158926844444444E-2</v>
      </c>
      <c r="H56" s="73"/>
      <c r="I56" s="130"/>
      <c r="N56" s="102"/>
      <c r="O56" s="102"/>
      <c r="P56" s="102"/>
      <c r="Q56" s="102"/>
      <c r="R56" s="102"/>
    </row>
    <row r="57" spans="1:23">
      <c r="A57" s="12" t="s">
        <v>59</v>
      </c>
      <c r="B57" s="129" t="s">
        <v>25</v>
      </c>
      <c r="C57" s="129">
        <v>4.5181881000000007E-2</v>
      </c>
      <c r="D57" s="121">
        <v>4.5568104999999998E-2</v>
      </c>
      <c r="E57" s="121">
        <v>5.2833943999999994E-2</v>
      </c>
      <c r="F57" s="121">
        <v>5.5875458000000003E-2</v>
      </c>
      <c r="G57" s="121">
        <v>5.5175426999999992E-2</v>
      </c>
      <c r="H57" s="73"/>
      <c r="I57" s="130"/>
    </row>
    <row r="58" spans="1:23">
      <c r="A58" s="12" t="s">
        <v>60</v>
      </c>
      <c r="B58" s="129" t="s">
        <v>27</v>
      </c>
      <c r="C58" s="228">
        <v>4.5181881000000007E-2</v>
      </c>
      <c r="D58" s="229">
        <v>4.5568104999999991E-2</v>
      </c>
      <c r="E58" s="229">
        <v>5.2833943999999994E-2</v>
      </c>
      <c r="F58" s="229">
        <v>5.587545800000001E-2</v>
      </c>
      <c r="G58" s="229">
        <v>5.5175426999999992E-2</v>
      </c>
      <c r="H58" s="73"/>
      <c r="I58" s="130"/>
    </row>
    <row r="59" spans="1:23">
      <c r="A59" s="12" t="s">
        <v>61</v>
      </c>
      <c r="B59" s="131" t="s">
        <v>29</v>
      </c>
      <c r="C59" s="230">
        <v>7.5718976000000007E-2</v>
      </c>
      <c r="D59" s="230">
        <v>7.5510080000000007E-2</v>
      </c>
      <c r="E59" s="230">
        <v>7.1580223999999998E-2</v>
      </c>
      <c r="F59" s="230">
        <v>6.9935168000000006E-2</v>
      </c>
      <c r="G59" s="230">
        <v>7.0313792E-2</v>
      </c>
      <c r="H59" s="170"/>
      <c r="I59" s="134"/>
    </row>
    <row r="60" spans="1:23" ht="13.5" thickBot="1">
      <c r="A60" s="113"/>
      <c r="B60" s="168"/>
      <c r="C60" s="168"/>
      <c r="D60" s="168"/>
      <c r="E60" s="168"/>
      <c r="F60" s="168"/>
      <c r="G60" s="168"/>
      <c r="H60" s="169"/>
      <c r="I60" s="169"/>
    </row>
    <row r="61" spans="1:23" s="110" customFormat="1" ht="39" thickBot="1">
      <c r="A61"/>
      <c r="B61" s="3"/>
      <c r="C61" s="185" t="s">
        <v>62</v>
      </c>
      <c r="D61" s="185" t="s">
        <v>63</v>
      </c>
      <c r="E61" s="185" t="s">
        <v>64</v>
      </c>
      <c r="F61" s="185" t="s">
        <v>65</v>
      </c>
      <c r="G61" s="186" t="s">
        <v>66</v>
      </c>
      <c r="H61" s="798" t="s">
        <v>67</v>
      </c>
      <c r="I61" s="799"/>
      <c r="J61" s="799"/>
      <c r="K61" s="799"/>
      <c r="L61" s="799"/>
      <c r="M61" s="799"/>
      <c r="N61" s="799"/>
      <c r="O61" s="795" t="s">
        <v>68</v>
      </c>
      <c r="P61" s="796"/>
      <c r="Q61" s="796"/>
      <c r="R61" s="796"/>
      <c r="S61" s="796"/>
      <c r="T61" s="796"/>
      <c r="U61" s="797"/>
      <c r="V61"/>
      <c r="W61"/>
    </row>
    <row r="62" spans="1:23" ht="13.5" thickBot="1">
      <c r="A62" s="48" t="s">
        <v>6</v>
      </c>
      <c r="B62" s="181" t="s">
        <v>69</v>
      </c>
      <c r="C62" s="182"/>
      <c r="D62" s="182"/>
      <c r="E62" s="183"/>
      <c r="F62" s="184"/>
      <c r="G62" s="689"/>
      <c r="H62" s="693">
        <v>2022</v>
      </c>
      <c r="I62" s="694">
        <f t="shared" ref="I62:N62" si="14">H62+1</f>
        <v>2023</v>
      </c>
      <c r="J62" s="694">
        <f t="shared" si="14"/>
        <v>2024</v>
      </c>
      <c r="K62" s="695">
        <f t="shared" si="14"/>
        <v>2025</v>
      </c>
      <c r="L62" s="695">
        <f t="shared" si="14"/>
        <v>2026</v>
      </c>
      <c r="M62" s="695">
        <f t="shared" si="14"/>
        <v>2027</v>
      </c>
      <c r="N62" s="696">
        <f t="shared" si="14"/>
        <v>2028</v>
      </c>
      <c r="O62" s="678">
        <v>2022</v>
      </c>
      <c r="P62" s="172">
        <f t="shared" ref="P62:U62" si="15">O62+1</f>
        <v>2023</v>
      </c>
      <c r="Q62" s="172">
        <f t="shared" si="15"/>
        <v>2024</v>
      </c>
      <c r="R62" s="173">
        <f t="shared" si="15"/>
        <v>2025</v>
      </c>
      <c r="S62" s="173">
        <f t="shared" si="15"/>
        <v>2026</v>
      </c>
      <c r="T62" s="173">
        <f t="shared" si="15"/>
        <v>2027</v>
      </c>
      <c r="U62" s="679">
        <f t="shared" si="15"/>
        <v>2028</v>
      </c>
    </row>
    <row r="63" spans="1:23">
      <c r="A63" s="12" t="s">
        <v>19</v>
      </c>
      <c r="B63" s="176" t="s">
        <v>70</v>
      </c>
      <c r="C63" s="175">
        <v>0.50600000000000001</v>
      </c>
      <c r="D63" s="121">
        <v>0.6</v>
      </c>
      <c r="E63" s="177">
        <v>2024</v>
      </c>
      <c r="F63" s="672" t="str">
        <f t="shared" ref="F63:F91" si="16">VLOOKUP($A63,$H$6:$I$10,2,FALSE)</f>
        <v>£m 20/21</v>
      </c>
      <c r="G63" s="690" t="s">
        <v>53</v>
      </c>
      <c r="H63" s="697"/>
      <c r="I63" s="174"/>
      <c r="J63" s="676">
        <f t="shared" ref="J63:N76" si="17">INDEX($C$42:$I$51,MATCH($G63,$B$42:$B$51,0),MATCH(J$62,$C$41:$I$41))</f>
        <v>3.1E-2</v>
      </c>
      <c r="K63" s="676">
        <f t="shared" si="17"/>
        <v>3.1699999999999999E-2</v>
      </c>
      <c r="L63" s="676">
        <f t="shared" si="17"/>
        <v>3.2300000000000002E-2</v>
      </c>
      <c r="M63" s="675">
        <f t="shared" si="17"/>
        <v>3.2399999999999998E-2</v>
      </c>
      <c r="N63" s="681">
        <f t="shared" si="17"/>
        <v>3.2599999999999997E-2</v>
      </c>
      <c r="O63" s="680"/>
      <c r="P63" s="127"/>
      <c r="Q63" s="677">
        <f t="shared" ref="Q63:U76" si="18">INDEX($C$55:$I$59,MATCH($A63,$B$55:$B$59,0),MATCH(Q$62,$C$54:$I$54))</f>
        <v>5.2833944000000001E-2</v>
      </c>
      <c r="R63" s="677">
        <f t="shared" si="18"/>
        <v>5.5875458000000003E-2</v>
      </c>
      <c r="S63" s="677">
        <f t="shared" si="18"/>
        <v>5.5175427000000006E-2</v>
      </c>
      <c r="T63" s="675">
        <f t="shared" si="18"/>
        <v>5.5320261000000003E-2</v>
      </c>
      <c r="U63" s="681">
        <f t="shared" si="18"/>
        <v>5.5489234000000012E-2</v>
      </c>
    </row>
    <row r="64" spans="1:23">
      <c r="A64" s="12" t="s">
        <v>19</v>
      </c>
      <c r="B64" s="178" t="s">
        <v>71</v>
      </c>
      <c r="C64" s="121">
        <v>0.501</v>
      </c>
      <c r="D64" s="121">
        <v>0.6</v>
      </c>
      <c r="E64" s="49">
        <v>2024</v>
      </c>
      <c r="F64" s="673" t="str">
        <f t="shared" si="16"/>
        <v>£m 20/21</v>
      </c>
      <c r="G64" s="691" t="s">
        <v>53</v>
      </c>
      <c r="H64" s="682"/>
      <c r="I64" s="73"/>
      <c r="J64" s="675">
        <f t="shared" si="17"/>
        <v>3.1E-2</v>
      </c>
      <c r="K64" s="675">
        <f t="shared" si="17"/>
        <v>3.1699999999999999E-2</v>
      </c>
      <c r="L64" s="675">
        <f t="shared" si="17"/>
        <v>3.2300000000000002E-2</v>
      </c>
      <c r="M64" s="675">
        <f t="shared" si="17"/>
        <v>3.2399999999999998E-2</v>
      </c>
      <c r="N64" s="681">
        <f t="shared" si="17"/>
        <v>3.2599999999999997E-2</v>
      </c>
      <c r="O64" s="682"/>
      <c r="P64" s="73"/>
      <c r="Q64" s="675">
        <f t="shared" si="18"/>
        <v>5.2833944000000001E-2</v>
      </c>
      <c r="R64" s="675">
        <f t="shared" si="18"/>
        <v>5.5875458000000003E-2</v>
      </c>
      <c r="S64" s="675">
        <f t="shared" si="18"/>
        <v>5.5175427000000006E-2</v>
      </c>
      <c r="T64" s="675">
        <f t="shared" si="18"/>
        <v>5.5320261000000003E-2</v>
      </c>
      <c r="U64" s="681">
        <f t="shared" si="18"/>
        <v>5.5489234000000012E-2</v>
      </c>
    </row>
    <row r="65" spans="1:21">
      <c r="A65" s="12" t="s">
        <v>19</v>
      </c>
      <c r="B65" s="178" t="s">
        <v>72</v>
      </c>
      <c r="C65" s="121">
        <v>0.501</v>
      </c>
      <c r="D65" s="121">
        <v>0.6</v>
      </c>
      <c r="E65" s="49">
        <v>2024</v>
      </c>
      <c r="F65" s="673" t="str">
        <f t="shared" si="16"/>
        <v>£m 20/21</v>
      </c>
      <c r="G65" s="691" t="s">
        <v>53</v>
      </c>
      <c r="H65" s="682"/>
      <c r="I65" s="73"/>
      <c r="J65" s="675">
        <f t="shared" si="17"/>
        <v>3.1E-2</v>
      </c>
      <c r="K65" s="675">
        <f t="shared" si="17"/>
        <v>3.1699999999999999E-2</v>
      </c>
      <c r="L65" s="675">
        <f t="shared" si="17"/>
        <v>3.2300000000000002E-2</v>
      </c>
      <c r="M65" s="675">
        <f t="shared" si="17"/>
        <v>3.2399999999999998E-2</v>
      </c>
      <c r="N65" s="681">
        <f t="shared" si="17"/>
        <v>3.2599999999999997E-2</v>
      </c>
      <c r="O65" s="682"/>
      <c r="P65" s="73"/>
      <c r="Q65" s="675">
        <f t="shared" si="18"/>
        <v>5.2833944000000001E-2</v>
      </c>
      <c r="R65" s="675">
        <f t="shared" si="18"/>
        <v>5.5875458000000003E-2</v>
      </c>
      <c r="S65" s="675">
        <f t="shared" si="18"/>
        <v>5.5175427000000006E-2</v>
      </c>
      <c r="T65" s="675">
        <f t="shared" si="18"/>
        <v>5.5320261000000003E-2</v>
      </c>
      <c r="U65" s="681">
        <f t="shared" si="18"/>
        <v>5.5489234000000012E-2</v>
      </c>
    </row>
    <row r="66" spans="1:21">
      <c r="A66" s="12" t="s">
        <v>19</v>
      </c>
      <c r="B66" s="178" t="s">
        <v>52</v>
      </c>
      <c r="C66" s="121">
        <v>0.5</v>
      </c>
      <c r="D66" s="121">
        <v>0.6</v>
      </c>
      <c r="E66" s="49">
        <v>2024</v>
      </c>
      <c r="F66" s="673" t="str">
        <f t="shared" si="16"/>
        <v>£m 20/21</v>
      </c>
      <c r="G66" s="691" t="s">
        <v>52</v>
      </c>
      <c r="H66" s="682"/>
      <c r="I66" s="73"/>
      <c r="J66" s="675">
        <f t="shared" si="17"/>
        <v>3.04E-2</v>
      </c>
      <c r="K66" s="675">
        <f t="shared" si="17"/>
        <v>3.1099999999999999E-2</v>
      </c>
      <c r="L66" s="675">
        <f t="shared" si="17"/>
        <v>3.1699999999999999E-2</v>
      </c>
      <c r="M66" s="675">
        <f t="shared" si="17"/>
        <v>3.1800000000000002E-2</v>
      </c>
      <c r="N66" s="681">
        <f t="shared" si="17"/>
        <v>3.2000000000000001E-2</v>
      </c>
      <c r="O66" s="682"/>
      <c r="P66" s="73"/>
      <c r="Q66" s="675">
        <f t="shared" si="18"/>
        <v>5.2833944000000001E-2</v>
      </c>
      <c r="R66" s="675">
        <f t="shared" si="18"/>
        <v>5.5875458000000003E-2</v>
      </c>
      <c r="S66" s="675">
        <f t="shared" si="18"/>
        <v>5.5175427000000006E-2</v>
      </c>
      <c r="T66" s="675">
        <f t="shared" si="18"/>
        <v>5.5320261000000003E-2</v>
      </c>
      <c r="U66" s="681">
        <f t="shared" si="18"/>
        <v>5.5489234000000012E-2</v>
      </c>
    </row>
    <row r="67" spans="1:21">
      <c r="A67" s="12" t="s">
        <v>19</v>
      </c>
      <c r="B67" s="178" t="s">
        <v>73</v>
      </c>
      <c r="C67" s="121">
        <v>0.5</v>
      </c>
      <c r="D67" s="121">
        <v>0.6</v>
      </c>
      <c r="E67" s="49">
        <v>2024</v>
      </c>
      <c r="F67" s="673" t="str">
        <f t="shared" si="16"/>
        <v>£m 20/21</v>
      </c>
      <c r="G67" s="691" t="s">
        <v>53</v>
      </c>
      <c r="H67" s="682"/>
      <c r="I67" s="73"/>
      <c r="J67" s="675">
        <f t="shared" si="17"/>
        <v>3.1E-2</v>
      </c>
      <c r="K67" s="675">
        <f t="shared" si="17"/>
        <v>3.1699999999999999E-2</v>
      </c>
      <c r="L67" s="675">
        <f t="shared" si="17"/>
        <v>3.2300000000000002E-2</v>
      </c>
      <c r="M67" s="675">
        <f t="shared" si="17"/>
        <v>3.2399999999999998E-2</v>
      </c>
      <c r="N67" s="681">
        <f t="shared" si="17"/>
        <v>3.2599999999999997E-2</v>
      </c>
      <c r="O67" s="682"/>
      <c r="P67" s="73"/>
      <c r="Q67" s="675">
        <f t="shared" si="18"/>
        <v>5.2833944000000001E-2</v>
      </c>
      <c r="R67" s="675">
        <f t="shared" si="18"/>
        <v>5.5875458000000003E-2</v>
      </c>
      <c r="S67" s="675">
        <f t="shared" si="18"/>
        <v>5.5175427000000006E-2</v>
      </c>
      <c r="T67" s="675">
        <f t="shared" si="18"/>
        <v>5.5320261000000003E-2</v>
      </c>
      <c r="U67" s="681">
        <f t="shared" si="18"/>
        <v>5.5489234000000012E-2</v>
      </c>
    </row>
    <row r="68" spans="1:21">
      <c r="A68" s="12" t="s">
        <v>19</v>
      </c>
      <c r="B68" s="178" t="s">
        <v>74</v>
      </c>
      <c r="C68" s="121">
        <v>0.5</v>
      </c>
      <c r="D68" s="121">
        <v>0.6</v>
      </c>
      <c r="E68" s="49">
        <v>2024</v>
      </c>
      <c r="F68" s="673" t="str">
        <f t="shared" si="16"/>
        <v>£m 20/21</v>
      </c>
      <c r="G68" s="691" t="s">
        <v>53</v>
      </c>
      <c r="H68" s="682"/>
      <c r="I68" s="73"/>
      <c r="J68" s="675">
        <f t="shared" si="17"/>
        <v>3.1E-2</v>
      </c>
      <c r="K68" s="675">
        <f t="shared" si="17"/>
        <v>3.1699999999999999E-2</v>
      </c>
      <c r="L68" s="675">
        <f t="shared" si="17"/>
        <v>3.2300000000000002E-2</v>
      </c>
      <c r="M68" s="675">
        <f t="shared" si="17"/>
        <v>3.2399999999999998E-2</v>
      </c>
      <c r="N68" s="681">
        <f t="shared" si="17"/>
        <v>3.2599999999999997E-2</v>
      </c>
      <c r="O68" s="682"/>
      <c r="P68" s="73"/>
      <c r="Q68" s="675">
        <f t="shared" si="18"/>
        <v>5.2833944000000001E-2</v>
      </c>
      <c r="R68" s="675">
        <f t="shared" si="18"/>
        <v>5.5875458000000003E-2</v>
      </c>
      <c r="S68" s="675">
        <f t="shared" si="18"/>
        <v>5.5175427000000006E-2</v>
      </c>
      <c r="T68" s="675">
        <f t="shared" si="18"/>
        <v>5.5320261000000003E-2</v>
      </c>
      <c r="U68" s="681">
        <f t="shared" si="18"/>
        <v>5.5489234000000012E-2</v>
      </c>
    </row>
    <row r="69" spans="1:21">
      <c r="A69" s="12" t="s">
        <v>19</v>
      </c>
      <c r="B69" s="178" t="s">
        <v>75</v>
      </c>
      <c r="C69" s="121">
        <v>0.5</v>
      </c>
      <c r="D69" s="121">
        <v>0.6</v>
      </c>
      <c r="E69" s="49">
        <v>2024</v>
      </c>
      <c r="F69" s="673" t="str">
        <f t="shared" si="16"/>
        <v>£m 20/21</v>
      </c>
      <c r="G69" s="691" t="s">
        <v>53</v>
      </c>
      <c r="H69" s="682"/>
      <c r="I69" s="73"/>
      <c r="J69" s="675">
        <f t="shared" si="17"/>
        <v>3.1E-2</v>
      </c>
      <c r="K69" s="675">
        <f t="shared" si="17"/>
        <v>3.1699999999999999E-2</v>
      </c>
      <c r="L69" s="675">
        <f t="shared" si="17"/>
        <v>3.2300000000000002E-2</v>
      </c>
      <c r="M69" s="675">
        <f t="shared" si="17"/>
        <v>3.2399999999999998E-2</v>
      </c>
      <c r="N69" s="681">
        <f t="shared" si="17"/>
        <v>3.2599999999999997E-2</v>
      </c>
      <c r="O69" s="682"/>
      <c r="P69" s="73"/>
      <c r="Q69" s="675">
        <f t="shared" si="18"/>
        <v>5.2833944000000001E-2</v>
      </c>
      <c r="R69" s="675">
        <f t="shared" si="18"/>
        <v>5.5875458000000003E-2</v>
      </c>
      <c r="S69" s="675">
        <f t="shared" si="18"/>
        <v>5.5175427000000006E-2</v>
      </c>
      <c r="T69" s="675">
        <f t="shared" si="18"/>
        <v>5.5320261000000003E-2</v>
      </c>
      <c r="U69" s="681">
        <f t="shared" si="18"/>
        <v>5.5489234000000012E-2</v>
      </c>
    </row>
    <row r="70" spans="1:21">
      <c r="A70" s="12" t="s">
        <v>19</v>
      </c>
      <c r="B70" s="178" t="s">
        <v>4</v>
      </c>
      <c r="C70" s="121">
        <v>0.5</v>
      </c>
      <c r="D70" s="121">
        <v>0.6</v>
      </c>
      <c r="E70" s="49">
        <v>2024</v>
      </c>
      <c r="F70" s="673" t="str">
        <f t="shared" si="16"/>
        <v>£m 20/21</v>
      </c>
      <c r="G70" s="691" t="s">
        <v>53</v>
      </c>
      <c r="H70" s="682"/>
      <c r="I70" s="73"/>
      <c r="J70" s="675">
        <f t="shared" si="17"/>
        <v>3.1E-2</v>
      </c>
      <c r="K70" s="675">
        <f t="shared" si="17"/>
        <v>3.1699999999999999E-2</v>
      </c>
      <c r="L70" s="675">
        <f t="shared" si="17"/>
        <v>3.2300000000000002E-2</v>
      </c>
      <c r="M70" s="675">
        <f t="shared" si="17"/>
        <v>3.2399999999999998E-2</v>
      </c>
      <c r="N70" s="681">
        <f t="shared" si="17"/>
        <v>3.2599999999999997E-2</v>
      </c>
      <c r="O70" s="682"/>
      <c r="P70" s="73"/>
      <c r="Q70" s="675">
        <f t="shared" si="18"/>
        <v>5.2833944000000001E-2</v>
      </c>
      <c r="R70" s="675">
        <f t="shared" si="18"/>
        <v>5.5875458000000003E-2</v>
      </c>
      <c r="S70" s="675">
        <f t="shared" si="18"/>
        <v>5.5175427000000006E-2</v>
      </c>
      <c r="T70" s="675">
        <f t="shared" si="18"/>
        <v>5.5320261000000003E-2</v>
      </c>
      <c r="U70" s="681">
        <f t="shared" si="18"/>
        <v>5.5489234000000012E-2</v>
      </c>
    </row>
    <row r="71" spans="1:21">
      <c r="A71" s="12" t="s">
        <v>19</v>
      </c>
      <c r="B71" s="178" t="s">
        <v>76</v>
      </c>
      <c r="C71" s="121">
        <v>0.50700000000000001</v>
      </c>
      <c r="D71" s="121">
        <v>0.6</v>
      </c>
      <c r="E71" s="49">
        <v>2024</v>
      </c>
      <c r="F71" s="673" t="str">
        <f t="shared" si="16"/>
        <v>£m 20/21</v>
      </c>
      <c r="G71" s="691" t="s">
        <v>53</v>
      </c>
      <c r="H71" s="682"/>
      <c r="I71" s="73"/>
      <c r="J71" s="675">
        <f t="shared" si="17"/>
        <v>3.1E-2</v>
      </c>
      <c r="K71" s="675">
        <f t="shared" si="17"/>
        <v>3.1699999999999999E-2</v>
      </c>
      <c r="L71" s="675">
        <f t="shared" si="17"/>
        <v>3.2300000000000002E-2</v>
      </c>
      <c r="M71" s="675">
        <f t="shared" si="17"/>
        <v>3.2399999999999998E-2</v>
      </c>
      <c r="N71" s="681">
        <f t="shared" si="17"/>
        <v>3.2599999999999997E-2</v>
      </c>
      <c r="O71" s="682"/>
      <c r="P71" s="73"/>
      <c r="Q71" s="675">
        <f t="shared" si="18"/>
        <v>5.2833944000000001E-2</v>
      </c>
      <c r="R71" s="675">
        <f t="shared" si="18"/>
        <v>5.5875458000000003E-2</v>
      </c>
      <c r="S71" s="675">
        <f t="shared" si="18"/>
        <v>5.5175427000000006E-2</v>
      </c>
      <c r="T71" s="675">
        <f t="shared" si="18"/>
        <v>5.5320261000000003E-2</v>
      </c>
      <c r="U71" s="681">
        <f t="shared" si="18"/>
        <v>5.5489234000000012E-2</v>
      </c>
    </row>
    <row r="72" spans="1:21">
      <c r="A72" s="12" t="s">
        <v>19</v>
      </c>
      <c r="B72" s="178" t="s">
        <v>50</v>
      </c>
      <c r="C72" s="121">
        <v>0.50700000000000001</v>
      </c>
      <c r="D72" s="121">
        <v>0.6</v>
      </c>
      <c r="E72" s="49">
        <v>2024</v>
      </c>
      <c r="F72" s="673" t="str">
        <f t="shared" si="16"/>
        <v>£m 20/21</v>
      </c>
      <c r="G72" s="691" t="s">
        <v>50</v>
      </c>
      <c r="H72" s="682"/>
      <c r="I72" s="73"/>
      <c r="J72" s="675">
        <f t="shared" si="17"/>
        <v>3.04E-2</v>
      </c>
      <c r="K72" s="675">
        <f t="shared" si="17"/>
        <v>3.1099999999999999E-2</v>
      </c>
      <c r="L72" s="675">
        <f t="shared" si="17"/>
        <v>3.1699999999999999E-2</v>
      </c>
      <c r="M72" s="675">
        <f t="shared" si="17"/>
        <v>3.1800000000000002E-2</v>
      </c>
      <c r="N72" s="681">
        <f t="shared" si="17"/>
        <v>3.2000000000000001E-2</v>
      </c>
      <c r="O72" s="682"/>
      <c r="P72" s="73"/>
      <c r="Q72" s="675">
        <f t="shared" si="18"/>
        <v>5.2833944000000001E-2</v>
      </c>
      <c r="R72" s="675">
        <f t="shared" si="18"/>
        <v>5.5875458000000003E-2</v>
      </c>
      <c r="S72" s="675">
        <f t="shared" si="18"/>
        <v>5.5175427000000006E-2</v>
      </c>
      <c r="T72" s="675">
        <f t="shared" si="18"/>
        <v>5.5320261000000003E-2</v>
      </c>
      <c r="U72" s="681">
        <f t="shared" si="18"/>
        <v>5.5489234000000012E-2</v>
      </c>
    </row>
    <row r="73" spans="1:21">
      <c r="A73" s="12" t="s">
        <v>19</v>
      </c>
      <c r="B73" s="178" t="s">
        <v>51</v>
      </c>
      <c r="C73" s="121">
        <v>0.5</v>
      </c>
      <c r="D73" s="121">
        <v>0.6</v>
      </c>
      <c r="E73" s="49">
        <v>2024</v>
      </c>
      <c r="F73" s="673" t="str">
        <f t="shared" si="16"/>
        <v>£m 20/21</v>
      </c>
      <c r="G73" s="691" t="s">
        <v>51</v>
      </c>
      <c r="H73" s="682"/>
      <c r="I73" s="73"/>
      <c r="J73" s="675">
        <f t="shared" si="17"/>
        <v>3.04E-2</v>
      </c>
      <c r="K73" s="675">
        <f t="shared" si="17"/>
        <v>3.1099999999999999E-2</v>
      </c>
      <c r="L73" s="675">
        <f t="shared" si="17"/>
        <v>3.1699999999999999E-2</v>
      </c>
      <c r="M73" s="675">
        <f t="shared" si="17"/>
        <v>3.1800000000000002E-2</v>
      </c>
      <c r="N73" s="681">
        <f t="shared" si="17"/>
        <v>3.2000000000000001E-2</v>
      </c>
      <c r="O73" s="682"/>
      <c r="P73" s="73"/>
      <c r="Q73" s="675">
        <f t="shared" si="18"/>
        <v>5.2833944000000001E-2</v>
      </c>
      <c r="R73" s="675">
        <f t="shared" si="18"/>
        <v>5.5875458000000003E-2</v>
      </c>
      <c r="S73" s="675">
        <f t="shared" si="18"/>
        <v>5.5175427000000006E-2</v>
      </c>
      <c r="T73" s="675">
        <f t="shared" si="18"/>
        <v>5.5320261000000003E-2</v>
      </c>
      <c r="U73" s="681">
        <f t="shared" si="18"/>
        <v>5.5489234000000012E-2</v>
      </c>
    </row>
    <row r="74" spans="1:21">
      <c r="A74" s="12" t="s">
        <v>19</v>
      </c>
      <c r="B74" s="178" t="s">
        <v>77</v>
      </c>
      <c r="C74" s="121">
        <v>0.5</v>
      </c>
      <c r="D74" s="121">
        <v>0.6</v>
      </c>
      <c r="E74" s="49">
        <v>2024</v>
      </c>
      <c r="F74" s="673" t="str">
        <f t="shared" si="16"/>
        <v>£m 20/21</v>
      </c>
      <c r="G74" s="691" t="s">
        <v>53</v>
      </c>
      <c r="H74" s="682"/>
      <c r="I74" s="73"/>
      <c r="J74" s="675">
        <f t="shared" si="17"/>
        <v>3.1E-2</v>
      </c>
      <c r="K74" s="675">
        <f t="shared" si="17"/>
        <v>3.1699999999999999E-2</v>
      </c>
      <c r="L74" s="675">
        <f t="shared" si="17"/>
        <v>3.2300000000000002E-2</v>
      </c>
      <c r="M74" s="675">
        <f t="shared" si="17"/>
        <v>3.2399999999999998E-2</v>
      </c>
      <c r="N74" s="681">
        <f t="shared" si="17"/>
        <v>3.2599999999999997E-2</v>
      </c>
      <c r="O74" s="682"/>
      <c r="P74" s="73"/>
      <c r="Q74" s="675">
        <f t="shared" si="18"/>
        <v>5.2833944000000001E-2</v>
      </c>
      <c r="R74" s="675">
        <f t="shared" si="18"/>
        <v>5.5875458000000003E-2</v>
      </c>
      <c r="S74" s="675">
        <f t="shared" si="18"/>
        <v>5.5175427000000006E-2</v>
      </c>
      <c r="T74" s="675">
        <f t="shared" si="18"/>
        <v>5.5320261000000003E-2</v>
      </c>
      <c r="U74" s="681">
        <f t="shared" si="18"/>
        <v>5.5489234000000012E-2</v>
      </c>
    </row>
    <row r="75" spans="1:21">
      <c r="A75" s="12" t="s">
        <v>19</v>
      </c>
      <c r="B75" s="178" t="s">
        <v>78</v>
      </c>
      <c r="C75" s="121">
        <v>0.5</v>
      </c>
      <c r="D75" s="121">
        <v>0.6</v>
      </c>
      <c r="E75" s="49">
        <v>2024</v>
      </c>
      <c r="F75" s="673" t="str">
        <f t="shared" si="16"/>
        <v>£m 20/21</v>
      </c>
      <c r="G75" s="691" t="s">
        <v>53</v>
      </c>
      <c r="H75" s="682"/>
      <c r="I75" s="73"/>
      <c r="J75" s="675">
        <f t="shared" si="17"/>
        <v>3.1E-2</v>
      </c>
      <c r="K75" s="675">
        <f t="shared" si="17"/>
        <v>3.1699999999999999E-2</v>
      </c>
      <c r="L75" s="675">
        <f t="shared" si="17"/>
        <v>3.2300000000000002E-2</v>
      </c>
      <c r="M75" s="675">
        <f t="shared" si="17"/>
        <v>3.2399999999999998E-2</v>
      </c>
      <c r="N75" s="681">
        <f t="shared" si="17"/>
        <v>3.2599999999999997E-2</v>
      </c>
      <c r="O75" s="682"/>
      <c r="P75" s="73"/>
      <c r="Q75" s="675">
        <f t="shared" si="18"/>
        <v>5.2833944000000001E-2</v>
      </c>
      <c r="R75" s="675">
        <f t="shared" si="18"/>
        <v>5.5875458000000003E-2</v>
      </c>
      <c r="S75" s="675">
        <f t="shared" si="18"/>
        <v>5.5175427000000006E-2</v>
      </c>
      <c r="T75" s="675">
        <f t="shared" si="18"/>
        <v>5.5320261000000003E-2</v>
      </c>
      <c r="U75" s="681">
        <f t="shared" si="18"/>
        <v>5.5489234000000012E-2</v>
      </c>
    </row>
    <row r="76" spans="1:21">
      <c r="A76" s="12" t="s">
        <v>19</v>
      </c>
      <c r="B76" s="178" t="s">
        <v>79</v>
      </c>
      <c r="C76" s="121">
        <v>0.5</v>
      </c>
      <c r="D76" s="121">
        <v>0.6</v>
      </c>
      <c r="E76" s="49">
        <v>2024</v>
      </c>
      <c r="F76" s="673" t="str">
        <f t="shared" si="16"/>
        <v>£m 20/21</v>
      </c>
      <c r="G76" s="691" t="s">
        <v>53</v>
      </c>
      <c r="H76" s="682"/>
      <c r="I76" s="73"/>
      <c r="J76" s="675">
        <f t="shared" si="17"/>
        <v>3.1E-2</v>
      </c>
      <c r="K76" s="675">
        <f t="shared" si="17"/>
        <v>3.1699999999999999E-2</v>
      </c>
      <c r="L76" s="675">
        <f t="shared" si="17"/>
        <v>3.2300000000000002E-2</v>
      </c>
      <c r="M76" s="675">
        <f t="shared" si="17"/>
        <v>3.2399999999999998E-2</v>
      </c>
      <c r="N76" s="681">
        <f t="shared" si="17"/>
        <v>3.2599999999999997E-2</v>
      </c>
      <c r="O76" s="682"/>
      <c r="P76" s="73"/>
      <c r="Q76" s="675">
        <f t="shared" si="18"/>
        <v>5.2833944000000001E-2</v>
      </c>
      <c r="R76" s="675">
        <f t="shared" si="18"/>
        <v>5.5875458000000003E-2</v>
      </c>
      <c r="S76" s="675">
        <f t="shared" si="18"/>
        <v>5.5175427000000006E-2</v>
      </c>
      <c r="T76" s="675">
        <f t="shared" si="18"/>
        <v>5.5320261000000003E-2</v>
      </c>
      <c r="U76" s="681">
        <f t="shared" si="18"/>
        <v>5.5489234000000012E-2</v>
      </c>
    </row>
    <row r="77" spans="1:21">
      <c r="A77" s="12" t="s">
        <v>25</v>
      </c>
      <c r="B77" s="178" t="s">
        <v>80</v>
      </c>
      <c r="C77" s="121">
        <v>0.5</v>
      </c>
      <c r="D77" s="121">
        <v>0.6</v>
      </c>
      <c r="E77" s="49">
        <v>2022</v>
      </c>
      <c r="F77" s="673" t="str">
        <f t="shared" si="16"/>
        <v>£m 18/19</v>
      </c>
      <c r="G77" s="691" t="s">
        <v>25</v>
      </c>
      <c r="H77" s="683">
        <f t="shared" ref="H77:L91" si="19">INDEX($C$42:$I$51,MATCH($G77,$B$42:$B$51,0),MATCH(H$62,$C$41:$I$41))</f>
        <v>2.0500000000000001E-2</v>
      </c>
      <c r="I77" s="675">
        <f t="shared" si="19"/>
        <v>1.9E-2</v>
      </c>
      <c r="J77" s="675">
        <f t="shared" si="19"/>
        <v>1.9199999999999998E-2</v>
      </c>
      <c r="K77" s="675">
        <f t="shared" si="19"/>
        <v>2.1100000000000001E-2</v>
      </c>
      <c r="L77" s="675">
        <f t="shared" si="19"/>
        <v>2.29E-2</v>
      </c>
      <c r="M77" s="73"/>
      <c r="N77" s="684"/>
      <c r="O77" s="683">
        <f t="shared" ref="O77:S91" si="20">INDEX($C$55:$I$59,MATCH($A77,$B$55:$B$59,0),MATCH(O$62,$C$54:$I$54))</f>
        <v>4.5181881000000007E-2</v>
      </c>
      <c r="P77" s="675">
        <f t="shared" si="20"/>
        <v>4.5568104999999998E-2</v>
      </c>
      <c r="Q77" s="675">
        <f t="shared" si="20"/>
        <v>5.2833943999999994E-2</v>
      </c>
      <c r="R77" s="675">
        <f t="shared" si="20"/>
        <v>5.5875458000000003E-2</v>
      </c>
      <c r="S77" s="675">
        <f t="shared" si="20"/>
        <v>5.5175426999999992E-2</v>
      </c>
      <c r="T77" s="73"/>
      <c r="U77" s="684"/>
    </row>
    <row r="78" spans="1:21">
      <c r="A78" s="12" t="s">
        <v>25</v>
      </c>
      <c r="B78" s="178" t="s">
        <v>81</v>
      </c>
      <c r="C78" s="121">
        <v>0.5</v>
      </c>
      <c r="D78" s="121">
        <v>0.6</v>
      </c>
      <c r="E78" s="49">
        <v>2022</v>
      </c>
      <c r="F78" s="673" t="str">
        <f t="shared" si="16"/>
        <v>£m 18/19</v>
      </c>
      <c r="G78" s="691" t="s">
        <v>25</v>
      </c>
      <c r="H78" s="683">
        <f t="shared" si="19"/>
        <v>2.0500000000000001E-2</v>
      </c>
      <c r="I78" s="675">
        <f t="shared" si="19"/>
        <v>1.9E-2</v>
      </c>
      <c r="J78" s="675">
        <f t="shared" si="19"/>
        <v>1.9199999999999998E-2</v>
      </c>
      <c r="K78" s="675">
        <f t="shared" si="19"/>
        <v>2.1100000000000001E-2</v>
      </c>
      <c r="L78" s="675">
        <f t="shared" si="19"/>
        <v>2.29E-2</v>
      </c>
      <c r="M78" s="73"/>
      <c r="N78" s="684"/>
      <c r="O78" s="683">
        <f t="shared" si="20"/>
        <v>4.5181881000000007E-2</v>
      </c>
      <c r="P78" s="675">
        <f t="shared" si="20"/>
        <v>4.5568104999999998E-2</v>
      </c>
      <c r="Q78" s="675">
        <f t="shared" si="20"/>
        <v>5.2833943999999994E-2</v>
      </c>
      <c r="R78" s="675">
        <f t="shared" si="20"/>
        <v>5.5875458000000003E-2</v>
      </c>
      <c r="S78" s="675">
        <f t="shared" si="20"/>
        <v>5.5175426999999992E-2</v>
      </c>
      <c r="T78" s="73"/>
      <c r="U78" s="684"/>
    </row>
    <row r="79" spans="1:21">
      <c r="A79" s="12" t="s">
        <v>25</v>
      </c>
      <c r="B79" s="178" t="s">
        <v>82</v>
      </c>
      <c r="C79" s="121">
        <v>0.5</v>
      </c>
      <c r="D79" s="121">
        <v>0.6</v>
      </c>
      <c r="E79" s="49">
        <v>2022</v>
      </c>
      <c r="F79" s="673" t="str">
        <f t="shared" si="16"/>
        <v>£m 18/19</v>
      </c>
      <c r="G79" s="691" t="s">
        <v>25</v>
      </c>
      <c r="H79" s="683">
        <f t="shared" si="19"/>
        <v>2.0500000000000001E-2</v>
      </c>
      <c r="I79" s="675">
        <f t="shared" si="19"/>
        <v>1.9E-2</v>
      </c>
      <c r="J79" s="675">
        <f t="shared" si="19"/>
        <v>1.9199999999999998E-2</v>
      </c>
      <c r="K79" s="675">
        <f t="shared" si="19"/>
        <v>2.1100000000000001E-2</v>
      </c>
      <c r="L79" s="675">
        <f t="shared" si="19"/>
        <v>2.29E-2</v>
      </c>
      <c r="M79" s="73"/>
      <c r="N79" s="684"/>
      <c r="O79" s="683">
        <f t="shared" si="20"/>
        <v>4.5181881000000007E-2</v>
      </c>
      <c r="P79" s="675">
        <f t="shared" si="20"/>
        <v>4.5568104999999998E-2</v>
      </c>
      <c r="Q79" s="675">
        <f t="shared" si="20"/>
        <v>5.2833943999999994E-2</v>
      </c>
      <c r="R79" s="675">
        <f t="shared" si="20"/>
        <v>5.5875458000000003E-2</v>
      </c>
      <c r="S79" s="675">
        <f t="shared" si="20"/>
        <v>5.5175426999999992E-2</v>
      </c>
      <c r="T79" s="73"/>
      <c r="U79" s="684"/>
    </row>
    <row r="80" spans="1:21">
      <c r="A80" s="12" t="s">
        <v>25</v>
      </c>
      <c r="B80" s="178" t="s">
        <v>83</v>
      </c>
      <c r="C80" s="121">
        <v>0.5</v>
      </c>
      <c r="D80" s="121">
        <v>0.6</v>
      </c>
      <c r="E80" s="49">
        <v>2022</v>
      </c>
      <c r="F80" s="673" t="str">
        <f t="shared" si="16"/>
        <v>£m 18/19</v>
      </c>
      <c r="G80" s="691" t="s">
        <v>25</v>
      </c>
      <c r="H80" s="683">
        <f t="shared" si="19"/>
        <v>2.0500000000000001E-2</v>
      </c>
      <c r="I80" s="675">
        <f t="shared" si="19"/>
        <v>1.9E-2</v>
      </c>
      <c r="J80" s="675">
        <f t="shared" si="19"/>
        <v>1.9199999999999998E-2</v>
      </c>
      <c r="K80" s="675">
        <f t="shared" si="19"/>
        <v>2.1100000000000001E-2</v>
      </c>
      <c r="L80" s="675">
        <f t="shared" si="19"/>
        <v>2.29E-2</v>
      </c>
      <c r="M80" s="73"/>
      <c r="N80" s="684"/>
      <c r="O80" s="683">
        <f t="shared" si="20"/>
        <v>4.5181881000000007E-2</v>
      </c>
      <c r="P80" s="675">
        <f t="shared" si="20"/>
        <v>4.5568104999999998E-2</v>
      </c>
      <c r="Q80" s="675">
        <f t="shared" si="20"/>
        <v>5.2833943999999994E-2</v>
      </c>
      <c r="R80" s="675">
        <f t="shared" si="20"/>
        <v>5.5875458000000003E-2</v>
      </c>
      <c r="S80" s="675">
        <f t="shared" si="20"/>
        <v>5.5175426999999992E-2</v>
      </c>
      <c r="T80" s="73"/>
      <c r="U80" s="684"/>
    </row>
    <row r="81" spans="1:21">
      <c r="A81" s="12" t="s">
        <v>25</v>
      </c>
      <c r="B81" s="178" t="s">
        <v>84</v>
      </c>
      <c r="C81" s="121">
        <v>0.51</v>
      </c>
      <c r="D81" s="121">
        <v>0.6</v>
      </c>
      <c r="E81" s="49">
        <v>2022</v>
      </c>
      <c r="F81" s="673" t="str">
        <f t="shared" si="16"/>
        <v>£m 18/19</v>
      </c>
      <c r="G81" s="691" t="s">
        <v>56</v>
      </c>
      <c r="H81" s="683">
        <f t="shared" si="19"/>
        <v>2.1100000000000001E-2</v>
      </c>
      <c r="I81" s="675">
        <f t="shared" si="19"/>
        <v>1.9599999999999999E-2</v>
      </c>
      <c r="J81" s="675">
        <f t="shared" si="19"/>
        <v>1.9799999999999998E-2</v>
      </c>
      <c r="K81" s="675">
        <f t="shared" si="19"/>
        <v>2.1700000000000001E-2</v>
      </c>
      <c r="L81" s="675">
        <f t="shared" si="19"/>
        <v>2.35E-2</v>
      </c>
      <c r="M81" s="73"/>
      <c r="N81" s="684"/>
      <c r="O81" s="683">
        <f t="shared" si="20"/>
        <v>4.5181881000000007E-2</v>
      </c>
      <c r="P81" s="675">
        <f t="shared" si="20"/>
        <v>4.5568104999999998E-2</v>
      </c>
      <c r="Q81" s="675">
        <f t="shared" si="20"/>
        <v>5.2833943999999994E-2</v>
      </c>
      <c r="R81" s="675">
        <f t="shared" si="20"/>
        <v>5.5875458000000003E-2</v>
      </c>
      <c r="S81" s="675">
        <f t="shared" si="20"/>
        <v>5.5175426999999992E-2</v>
      </c>
      <c r="T81" s="73"/>
      <c r="U81" s="684"/>
    </row>
    <row r="82" spans="1:21">
      <c r="A82" s="12" t="s">
        <v>25</v>
      </c>
      <c r="B82" s="178" t="s">
        <v>85</v>
      </c>
      <c r="C82" s="121">
        <v>0.51</v>
      </c>
      <c r="D82" s="121">
        <v>0.6</v>
      </c>
      <c r="E82" s="49">
        <v>2022</v>
      </c>
      <c r="F82" s="673" t="str">
        <f t="shared" si="16"/>
        <v>£m 18/19</v>
      </c>
      <c r="G82" s="691" t="s">
        <v>56</v>
      </c>
      <c r="H82" s="683">
        <f t="shared" si="19"/>
        <v>2.1100000000000001E-2</v>
      </c>
      <c r="I82" s="675">
        <f t="shared" si="19"/>
        <v>1.9599999999999999E-2</v>
      </c>
      <c r="J82" s="675">
        <f t="shared" si="19"/>
        <v>1.9799999999999998E-2</v>
      </c>
      <c r="K82" s="675">
        <f t="shared" si="19"/>
        <v>2.1700000000000001E-2</v>
      </c>
      <c r="L82" s="675">
        <f t="shared" si="19"/>
        <v>2.35E-2</v>
      </c>
      <c r="M82" s="73"/>
      <c r="N82" s="684"/>
      <c r="O82" s="683">
        <f t="shared" si="20"/>
        <v>4.5181881000000007E-2</v>
      </c>
      <c r="P82" s="675">
        <f t="shared" si="20"/>
        <v>4.5568104999999998E-2</v>
      </c>
      <c r="Q82" s="675">
        <f t="shared" si="20"/>
        <v>5.2833943999999994E-2</v>
      </c>
      <c r="R82" s="675">
        <f t="shared" si="20"/>
        <v>5.5875458000000003E-2</v>
      </c>
      <c r="S82" s="675">
        <f t="shared" si="20"/>
        <v>5.5175426999999992E-2</v>
      </c>
      <c r="T82" s="73"/>
      <c r="U82" s="684"/>
    </row>
    <row r="83" spans="1:21">
      <c r="A83" s="12" t="s">
        <v>25</v>
      </c>
      <c r="B83" s="178" t="s">
        <v>86</v>
      </c>
      <c r="C83" s="121">
        <v>0.5</v>
      </c>
      <c r="D83" s="121">
        <v>0.6</v>
      </c>
      <c r="E83" s="49">
        <v>2022</v>
      </c>
      <c r="F83" s="673" t="str">
        <f t="shared" si="16"/>
        <v>£m 18/19</v>
      </c>
      <c r="G83" s="691" t="s">
        <v>25</v>
      </c>
      <c r="H83" s="683">
        <f t="shared" si="19"/>
        <v>2.0500000000000001E-2</v>
      </c>
      <c r="I83" s="675">
        <f t="shared" si="19"/>
        <v>1.9E-2</v>
      </c>
      <c r="J83" s="675">
        <f t="shared" si="19"/>
        <v>1.9199999999999998E-2</v>
      </c>
      <c r="K83" s="675">
        <f t="shared" si="19"/>
        <v>2.1100000000000001E-2</v>
      </c>
      <c r="L83" s="675">
        <f t="shared" si="19"/>
        <v>2.29E-2</v>
      </c>
      <c r="M83" s="73"/>
      <c r="N83" s="684"/>
      <c r="O83" s="683">
        <f t="shared" si="20"/>
        <v>4.5181881000000007E-2</v>
      </c>
      <c r="P83" s="675">
        <f t="shared" si="20"/>
        <v>4.5568104999999998E-2</v>
      </c>
      <c r="Q83" s="675">
        <f t="shared" si="20"/>
        <v>5.2833943999999994E-2</v>
      </c>
      <c r="R83" s="675">
        <f t="shared" si="20"/>
        <v>5.5875458000000003E-2</v>
      </c>
      <c r="S83" s="675">
        <f t="shared" si="20"/>
        <v>5.5175426999999992E-2</v>
      </c>
      <c r="T83" s="73"/>
      <c r="U83" s="684"/>
    </row>
    <row r="84" spans="1:21">
      <c r="A84" s="12" t="s">
        <v>25</v>
      </c>
      <c r="B84" s="178" t="s">
        <v>87</v>
      </c>
      <c r="C84" s="121">
        <v>0.5</v>
      </c>
      <c r="D84" s="121">
        <v>0.6</v>
      </c>
      <c r="E84" s="49">
        <v>2022</v>
      </c>
      <c r="F84" s="673" t="str">
        <f t="shared" si="16"/>
        <v>£m 18/19</v>
      </c>
      <c r="G84" s="691" t="s">
        <v>56</v>
      </c>
      <c r="H84" s="683">
        <f t="shared" si="19"/>
        <v>2.1100000000000001E-2</v>
      </c>
      <c r="I84" s="675">
        <f t="shared" si="19"/>
        <v>1.9599999999999999E-2</v>
      </c>
      <c r="J84" s="675">
        <f t="shared" si="19"/>
        <v>1.9799999999999998E-2</v>
      </c>
      <c r="K84" s="675">
        <f t="shared" si="19"/>
        <v>2.1700000000000001E-2</v>
      </c>
      <c r="L84" s="675">
        <f t="shared" si="19"/>
        <v>2.35E-2</v>
      </c>
      <c r="M84" s="73"/>
      <c r="N84" s="684"/>
      <c r="O84" s="683">
        <f t="shared" si="20"/>
        <v>4.5181881000000007E-2</v>
      </c>
      <c r="P84" s="675">
        <f t="shared" si="20"/>
        <v>4.5568104999999998E-2</v>
      </c>
      <c r="Q84" s="675">
        <f t="shared" si="20"/>
        <v>5.2833943999999994E-2</v>
      </c>
      <c r="R84" s="675">
        <f t="shared" si="20"/>
        <v>5.5875458000000003E-2</v>
      </c>
      <c r="S84" s="675">
        <f t="shared" si="20"/>
        <v>5.5175426999999992E-2</v>
      </c>
      <c r="T84" s="73"/>
      <c r="U84" s="684"/>
    </row>
    <row r="85" spans="1:21">
      <c r="A85" s="12" t="s">
        <v>27</v>
      </c>
      <c r="B85" s="178" t="s">
        <v>88</v>
      </c>
      <c r="C85" s="121">
        <v>0.61</v>
      </c>
      <c r="D85" s="121">
        <v>0.6</v>
      </c>
      <c r="E85" s="49">
        <v>2022</v>
      </c>
      <c r="F85" s="673" t="str">
        <f t="shared" si="16"/>
        <v>£m 18/19</v>
      </c>
      <c r="G85" s="691" t="s">
        <v>27</v>
      </c>
      <c r="H85" s="683">
        <f t="shared" si="19"/>
        <v>2.0500000000000001E-2</v>
      </c>
      <c r="I85" s="675">
        <f t="shared" si="19"/>
        <v>1.9E-2</v>
      </c>
      <c r="J85" s="675">
        <f t="shared" si="19"/>
        <v>1.9199999999999998E-2</v>
      </c>
      <c r="K85" s="675">
        <f t="shared" si="19"/>
        <v>2.1100000000000001E-2</v>
      </c>
      <c r="L85" s="675">
        <f t="shared" si="19"/>
        <v>2.29E-2</v>
      </c>
      <c r="M85" s="73"/>
      <c r="N85" s="684"/>
      <c r="O85" s="683">
        <f t="shared" si="20"/>
        <v>4.5181881000000007E-2</v>
      </c>
      <c r="P85" s="675">
        <f t="shared" si="20"/>
        <v>4.5568104999999991E-2</v>
      </c>
      <c r="Q85" s="675">
        <f t="shared" si="20"/>
        <v>5.2833943999999994E-2</v>
      </c>
      <c r="R85" s="675">
        <f t="shared" si="20"/>
        <v>5.587545800000001E-2</v>
      </c>
      <c r="S85" s="675">
        <f t="shared" si="20"/>
        <v>5.5175426999999992E-2</v>
      </c>
      <c r="T85" s="73"/>
      <c r="U85" s="684"/>
    </row>
    <row r="86" spans="1:21">
      <c r="A86" s="12" t="s">
        <v>27</v>
      </c>
      <c r="B86" s="178" t="s">
        <v>89</v>
      </c>
      <c r="C86" s="121">
        <v>0.61</v>
      </c>
      <c r="D86" s="121">
        <v>0.6</v>
      </c>
      <c r="E86" s="49">
        <v>2022</v>
      </c>
      <c r="F86" s="673" t="str">
        <f t="shared" si="16"/>
        <v>£m 18/19</v>
      </c>
      <c r="G86" s="691" t="s">
        <v>27</v>
      </c>
      <c r="H86" s="683">
        <f t="shared" si="19"/>
        <v>2.0500000000000001E-2</v>
      </c>
      <c r="I86" s="675">
        <f t="shared" si="19"/>
        <v>1.9E-2</v>
      </c>
      <c r="J86" s="675">
        <f t="shared" si="19"/>
        <v>1.9199999999999998E-2</v>
      </c>
      <c r="K86" s="675">
        <f t="shared" si="19"/>
        <v>2.1100000000000001E-2</v>
      </c>
      <c r="L86" s="675">
        <f t="shared" si="19"/>
        <v>2.29E-2</v>
      </c>
      <c r="M86" s="73"/>
      <c r="N86" s="684"/>
      <c r="O86" s="683">
        <f t="shared" si="20"/>
        <v>4.5181881000000007E-2</v>
      </c>
      <c r="P86" s="675">
        <f t="shared" si="20"/>
        <v>4.5568104999999991E-2</v>
      </c>
      <c r="Q86" s="675">
        <f t="shared" si="20"/>
        <v>5.2833943999999994E-2</v>
      </c>
      <c r="R86" s="675">
        <f t="shared" si="20"/>
        <v>5.587545800000001E-2</v>
      </c>
      <c r="S86" s="675">
        <f t="shared" si="20"/>
        <v>5.5175426999999992E-2</v>
      </c>
      <c r="T86" s="73"/>
      <c r="U86" s="684"/>
    </row>
    <row r="87" spans="1:21">
      <c r="A87" s="12" t="s">
        <v>27</v>
      </c>
      <c r="B87" s="178" t="s">
        <v>90</v>
      </c>
      <c r="C87" s="121">
        <v>0.61</v>
      </c>
      <c r="D87" s="121">
        <v>0.6</v>
      </c>
      <c r="E87" s="49">
        <v>2022</v>
      </c>
      <c r="F87" s="673" t="str">
        <f t="shared" si="16"/>
        <v>£m 18/19</v>
      </c>
      <c r="G87" s="691" t="s">
        <v>27</v>
      </c>
      <c r="H87" s="683">
        <f t="shared" si="19"/>
        <v>2.0500000000000001E-2</v>
      </c>
      <c r="I87" s="675">
        <f t="shared" si="19"/>
        <v>1.9E-2</v>
      </c>
      <c r="J87" s="675">
        <f t="shared" si="19"/>
        <v>1.9199999999999998E-2</v>
      </c>
      <c r="K87" s="675">
        <f t="shared" si="19"/>
        <v>2.1100000000000001E-2</v>
      </c>
      <c r="L87" s="675">
        <f t="shared" si="19"/>
        <v>2.29E-2</v>
      </c>
      <c r="M87" s="73"/>
      <c r="N87" s="684"/>
      <c r="O87" s="683">
        <f t="shared" si="20"/>
        <v>4.5181881000000007E-2</v>
      </c>
      <c r="P87" s="675">
        <f t="shared" si="20"/>
        <v>4.5568104999999991E-2</v>
      </c>
      <c r="Q87" s="675">
        <f t="shared" si="20"/>
        <v>5.2833943999999994E-2</v>
      </c>
      <c r="R87" s="675">
        <f t="shared" si="20"/>
        <v>5.587545800000001E-2</v>
      </c>
      <c r="S87" s="675">
        <f t="shared" si="20"/>
        <v>5.5175426999999992E-2</v>
      </c>
      <c r="T87" s="73"/>
      <c r="U87" s="684"/>
    </row>
    <row r="88" spans="1:21">
      <c r="A88" s="12" t="s">
        <v>22</v>
      </c>
      <c r="B88" s="178" t="s">
        <v>91</v>
      </c>
      <c r="C88" s="121">
        <v>0.67</v>
      </c>
      <c r="D88" s="121">
        <v>0.55000000000000004</v>
      </c>
      <c r="E88" s="49">
        <v>2022</v>
      </c>
      <c r="F88" s="673" t="str">
        <f t="shared" si="16"/>
        <v>£m 18/19</v>
      </c>
      <c r="G88" s="691" t="s">
        <v>55</v>
      </c>
      <c r="H88" s="683">
        <f t="shared" si="19"/>
        <v>2.0500000000000001E-2</v>
      </c>
      <c r="I88" s="675">
        <f t="shared" si="19"/>
        <v>1.9E-2</v>
      </c>
      <c r="J88" s="675">
        <f t="shared" si="19"/>
        <v>1.9199999999999998E-2</v>
      </c>
      <c r="K88" s="675">
        <f t="shared" si="19"/>
        <v>2.1100000000000001E-2</v>
      </c>
      <c r="L88" s="675">
        <f t="shared" si="19"/>
        <v>2.29E-2</v>
      </c>
      <c r="M88" s="73"/>
      <c r="N88" s="684"/>
      <c r="O88" s="683">
        <f t="shared" si="20"/>
        <v>4.2439449777777784E-2</v>
      </c>
      <c r="P88" s="675">
        <f t="shared" si="20"/>
        <v>4.2616093333333334E-2</v>
      </c>
      <c r="Q88" s="675">
        <f t="shared" si="20"/>
        <v>4.909683911111111E-2</v>
      </c>
      <c r="R88" s="675">
        <f t="shared" si="20"/>
        <v>5.2011518222222233E-2</v>
      </c>
      <c r="S88" s="675">
        <f t="shared" si="20"/>
        <v>5.158926844444444E-2</v>
      </c>
      <c r="T88" s="73"/>
      <c r="U88" s="684"/>
    </row>
    <row r="89" spans="1:21">
      <c r="A89" s="12" t="s">
        <v>29</v>
      </c>
      <c r="B89" s="178" t="s">
        <v>29</v>
      </c>
      <c r="C89" s="121">
        <v>1</v>
      </c>
      <c r="D89" s="121">
        <v>0.55000000000000004</v>
      </c>
      <c r="E89" s="49">
        <v>2022</v>
      </c>
      <c r="F89" s="673" t="str">
        <f t="shared" si="16"/>
        <v>£m 18/19</v>
      </c>
      <c r="G89" s="691" t="s">
        <v>29</v>
      </c>
      <c r="H89" s="683">
        <f>INDEX($C$42:$I$51,MATCH($G89,$B$42:$B$51,0),MATCH(H$62,$C$41:$I$41))</f>
        <v>-5.9999999999999995E-4</v>
      </c>
      <c r="I89" s="675">
        <f t="shared" si="19"/>
        <v>2.12E-2</v>
      </c>
      <c r="J89" s="675">
        <f t="shared" si="19"/>
        <v>5.0099999999999999E-2</v>
      </c>
      <c r="K89" s="675">
        <f t="shared" si="19"/>
        <v>4.7300000000000002E-2</v>
      </c>
      <c r="L89" s="675">
        <f t="shared" si="19"/>
        <v>4.19E-2</v>
      </c>
      <c r="M89" s="73"/>
      <c r="N89" s="684"/>
      <c r="O89" s="683">
        <f t="shared" si="20"/>
        <v>7.5718976000000007E-2</v>
      </c>
      <c r="P89" s="675">
        <f t="shared" si="20"/>
        <v>7.5510080000000007E-2</v>
      </c>
      <c r="Q89" s="675">
        <f t="shared" si="20"/>
        <v>7.1580223999999998E-2</v>
      </c>
      <c r="R89" s="675">
        <f t="shared" si="20"/>
        <v>6.9935168000000006E-2</v>
      </c>
      <c r="S89" s="675">
        <f t="shared" si="20"/>
        <v>7.0313792E-2</v>
      </c>
      <c r="T89" s="73"/>
      <c r="U89" s="684"/>
    </row>
    <row r="90" spans="1:21">
      <c r="A90" s="12" t="s">
        <v>22</v>
      </c>
      <c r="B90" s="178" t="s">
        <v>92</v>
      </c>
      <c r="C90" s="121">
        <v>0.51</v>
      </c>
      <c r="D90" s="121">
        <v>0.55000000000000004</v>
      </c>
      <c r="E90" s="49">
        <v>2022</v>
      </c>
      <c r="F90" s="673" t="str">
        <f t="shared" si="16"/>
        <v>£m 18/19</v>
      </c>
      <c r="G90" s="691" t="s">
        <v>55</v>
      </c>
      <c r="H90" s="683">
        <f t="shared" si="19"/>
        <v>2.0500000000000001E-2</v>
      </c>
      <c r="I90" s="675">
        <f t="shared" si="19"/>
        <v>1.9E-2</v>
      </c>
      <c r="J90" s="675">
        <f t="shared" si="19"/>
        <v>1.9199999999999998E-2</v>
      </c>
      <c r="K90" s="675">
        <f t="shared" si="19"/>
        <v>2.1100000000000001E-2</v>
      </c>
      <c r="L90" s="675">
        <f t="shared" si="19"/>
        <v>2.29E-2</v>
      </c>
      <c r="M90" s="73"/>
      <c r="N90" s="684"/>
      <c r="O90" s="683">
        <f t="shared" si="20"/>
        <v>4.2439449777777784E-2</v>
      </c>
      <c r="P90" s="675">
        <f t="shared" si="20"/>
        <v>4.2616093333333334E-2</v>
      </c>
      <c r="Q90" s="675">
        <f t="shared" si="20"/>
        <v>4.909683911111111E-2</v>
      </c>
      <c r="R90" s="675">
        <f t="shared" si="20"/>
        <v>5.2011518222222233E-2</v>
      </c>
      <c r="S90" s="675">
        <f t="shared" si="20"/>
        <v>5.158926844444444E-2</v>
      </c>
      <c r="T90" s="73"/>
      <c r="U90" s="684"/>
    </row>
    <row r="91" spans="1:21" ht="13.5" thickBot="1">
      <c r="A91" s="12" t="s">
        <v>22</v>
      </c>
      <c r="B91" s="179" t="s">
        <v>54</v>
      </c>
      <c r="C91" s="171">
        <v>0.64</v>
      </c>
      <c r="D91" s="171">
        <v>0.55000000000000004</v>
      </c>
      <c r="E91" s="180">
        <v>2022</v>
      </c>
      <c r="F91" s="674" t="str">
        <f t="shared" si="16"/>
        <v>£m 18/19</v>
      </c>
      <c r="G91" s="692" t="s">
        <v>54</v>
      </c>
      <c r="H91" s="685">
        <f t="shared" si="19"/>
        <v>1.8184707641684131E-2</v>
      </c>
      <c r="I91" s="686">
        <f t="shared" si="19"/>
        <v>1.5809503423148775E-2</v>
      </c>
      <c r="J91" s="686">
        <f t="shared" si="19"/>
        <v>1.8000565597912722E-2</v>
      </c>
      <c r="K91" s="686">
        <f t="shared" si="19"/>
        <v>2.3276186478151731E-2</v>
      </c>
      <c r="L91" s="686">
        <f t="shared" si="19"/>
        <v>2.7418061040625063E-2</v>
      </c>
      <c r="M91" s="687"/>
      <c r="N91" s="688"/>
      <c r="O91" s="685">
        <f t="shared" si="20"/>
        <v>4.2439449777777784E-2</v>
      </c>
      <c r="P91" s="686">
        <f t="shared" si="20"/>
        <v>4.2616093333333334E-2</v>
      </c>
      <c r="Q91" s="686">
        <f t="shared" si="20"/>
        <v>4.909683911111111E-2</v>
      </c>
      <c r="R91" s="686">
        <f t="shared" si="20"/>
        <v>5.2011518222222233E-2</v>
      </c>
      <c r="S91" s="686">
        <f t="shared" si="20"/>
        <v>5.158926844444444E-2</v>
      </c>
      <c r="T91" s="687"/>
      <c r="U91" s="688"/>
    </row>
    <row r="92" spans="1:21">
      <c r="I92" s="14"/>
    </row>
    <row r="93" spans="1:21">
      <c r="I93" s="14"/>
    </row>
    <row r="94" spans="1:21">
      <c r="I94" s="14"/>
    </row>
    <row r="95" spans="1:21" ht="13.5">
      <c r="B95" s="1"/>
      <c r="D95" s="115"/>
      <c r="E95" s="115"/>
      <c r="F95" s="115"/>
      <c r="G95" s="115"/>
      <c r="H95" s="115"/>
      <c r="I95" s="115"/>
      <c r="J95" s="115"/>
    </row>
    <row r="97" spans="2:14" ht="14.25">
      <c r="B97" s="104" t="s">
        <v>93</v>
      </c>
      <c r="C97" s="24">
        <v>2022</v>
      </c>
      <c r="D97" s="25">
        <f t="shared" ref="D97:I97" si="21">C97+1</f>
        <v>2023</v>
      </c>
      <c r="E97" s="25">
        <f t="shared" si="21"/>
        <v>2024</v>
      </c>
      <c r="F97" s="25">
        <f t="shared" si="21"/>
        <v>2025</v>
      </c>
      <c r="G97" s="25">
        <f t="shared" si="21"/>
        <v>2026</v>
      </c>
      <c r="H97" s="25">
        <f t="shared" si="21"/>
        <v>2027</v>
      </c>
      <c r="I97" s="25">
        <f t="shared" si="21"/>
        <v>2028</v>
      </c>
    </row>
    <row r="98" spans="2:14">
      <c r="B98" s="105" t="s">
        <v>70</v>
      </c>
      <c r="C98" s="73"/>
      <c r="D98" s="73"/>
      <c r="E98" s="106">
        <v>0</v>
      </c>
      <c r="F98" s="106">
        <v>0</v>
      </c>
      <c r="G98" s="106">
        <v>0</v>
      </c>
      <c r="H98" s="106">
        <v>0</v>
      </c>
      <c r="I98" s="106">
        <v>0</v>
      </c>
      <c r="J98" s="712"/>
    </row>
    <row r="99" spans="2:14">
      <c r="B99" s="105" t="s">
        <v>71</v>
      </c>
      <c r="C99" s="73"/>
      <c r="D99" s="73"/>
      <c r="E99" s="106">
        <v>0</v>
      </c>
      <c r="F99" s="106">
        <v>0</v>
      </c>
      <c r="G99" s="106">
        <v>0</v>
      </c>
      <c r="H99" s="106">
        <v>0</v>
      </c>
      <c r="I99" s="106">
        <v>0</v>
      </c>
      <c r="J99" s="712"/>
    </row>
    <row r="100" spans="2:14">
      <c r="B100" s="105" t="s">
        <v>72</v>
      </c>
      <c r="C100" s="73"/>
      <c r="D100" s="73"/>
      <c r="E100" s="106">
        <v>0</v>
      </c>
      <c r="F100" s="106">
        <v>0</v>
      </c>
      <c r="G100" s="106">
        <v>0</v>
      </c>
      <c r="H100" s="106">
        <v>0</v>
      </c>
      <c r="I100" s="106">
        <v>0</v>
      </c>
      <c r="J100" s="713"/>
      <c r="K100" s="84"/>
      <c r="L100" s="84"/>
      <c r="M100" s="84"/>
      <c r="N100" s="84"/>
    </row>
    <row r="101" spans="2:14">
      <c r="B101" s="105" t="s">
        <v>52</v>
      </c>
      <c r="C101" s="73"/>
      <c r="D101" s="73"/>
      <c r="E101" s="106">
        <v>0</v>
      </c>
      <c r="F101" s="106">
        <v>0</v>
      </c>
      <c r="G101" s="106">
        <v>0</v>
      </c>
      <c r="H101" s="106">
        <v>0</v>
      </c>
      <c r="I101" s="106">
        <v>0</v>
      </c>
      <c r="J101" s="712"/>
    </row>
    <row r="102" spans="2:14">
      <c r="B102" s="105" t="s">
        <v>73</v>
      </c>
      <c r="C102" s="73"/>
      <c r="D102" s="73"/>
      <c r="E102" s="106">
        <v>0.95193542636815776</v>
      </c>
      <c r="F102" s="106">
        <v>0.95193542636815776</v>
      </c>
      <c r="G102" s="106">
        <v>0.95193542636815776</v>
      </c>
      <c r="H102" s="106">
        <v>0.95193542636815776</v>
      </c>
      <c r="I102" s="106">
        <v>0.95193542636815776</v>
      </c>
      <c r="J102" s="712"/>
    </row>
    <row r="103" spans="2:14">
      <c r="B103" s="105" t="s">
        <v>74</v>
      </c>
      <c r="C103" s="73"/>
      <c r="D103" s="73"/>
      <c r="E103" s="106">
        <v>4.1422258913848848</v>
      </c>
      <c r="F103" s="106">
        <v>4.1422258913848848</v>
      </c>
      <c r="G103" s="106">
        <v>4.1422258913848848</v>
      </c>
      <c r="H103" s="106">
        <v>4.1422258913848848</v>
      </c>
      <c r="I103" s="106">
        <v>4.1422258913848848</v>
      </c>
      <c r="J103" s="712"/>
    </row>
    <row r="104" spans="2:14">
      <c r="B104" s="105" t="s">
        <v>75</v>
      </c>
      <c r="C104" s="73"/>
      <c r="D104" s="73"/>
      <c r="E104" s="106">
        <v>0</v>
      </c>
      <c r="F104" s="106">
        <v>0</v>
      </c>
      <c r="G104" s="106">
        <v>0</v>
      </c>
      <c r="H104" s="106">
        <v>0</v>
      </c>
      <c r="I104" s="106">
        <v>0</v>
      </c>
      <c r="J104" s="712"/>
    </row>
    <row r="105" spans="2:14">
      <c r="B105" s="105" t="s">
        <v>4</v>
      </c>
      <c r="C105" s="73"/>
      <c r="D105" s="73"/>
      <c r="E105" s="106">
        <v>0</v>
      </c>
      <c r="F105" s="106">
        <v>0</v>
      </c>
      <c r="G105" s="106">
        <v>0</v>
      </c>
      <c r="H105" s="106">
        <v>0</v>
      </c>
      <c r="I105" s="106">
        <v>0</v>
      </c>
      <c r="J105" s="712"/>
    </row>
    <row r="106" spans="2:14">
      <c r="B106" s="105" t="s">
        <v>76</v>
      </c>
      <c r="C106" s="73"/>
      <c r="D106" s="73"/>
      <c r="E106" s="106">
        <v>1.2350000000000001</v>
      </c>
      <c r="F106" s="106">
        <v>0</v>
      </c>
      <c r="G106" s="106">
        <v>0</v>
      </c>
      <c r="H106" s="106">
        <v>0</v>
      </c>
      <c r="I106" s="106">
        <v>0</v>
      </c>
      <c r="J106" s="712"/>
    </row>
    <row r="107" spans="2:14">
      <c r="B107" s="105" t="s">
        <v>50</v>
      </c>
      <c r="C107" s="73"/>
      <c r="D107" s="73"/>
      <c r="E107" s="106">
        <v>2.3050000000000002</v>
      </c>
      <c r="F107" s="106">
        <v>0</v>
      </c>
      <c r="G107" s="106">
        <v>0</v>
      </c>
      <c r="H107" s="106">
        <v>0</v>
      </c>
      <c r="I107" s="106">
        <v>0</v>
      </c>
      <c r="J107" s="712"/>
    </row>
    <row r="108" spans="2:14">
      <c r="B108" s="105" t="s">
        <v>51</v>
      </c>
      <c r="C108" s="73"/>
      <c r="D108" s="73"/>
      <c r="E108" s="106">
        <v>1.38</v>
      </c>
      <c r="F108" s="106">
        <v>0</v>
      </c>
      <c r="G108" s="106">
        <v>0</v>
      </c>
      <c r="H108" s="106">
        <v>0</v>
      </c>
      <c r="I108" s="106">
        <v>0</v>
      </c>
      <c r="J108" s="712"/>
    </row>
    <row r="109" spans="2:14">
      <c r="B109" s="105" t="s">
        <v>77</v>
      </c>
      <c r="C109" s="73"/>
      <c r="D109" s="73"/>
      <c r="E109" s="106">
        <v>1.38</v>
      </c>
      <c r="F109" s="106">
        <v>0</v>
      </c>
      <c r="G109" s="106">
        <v>0</v>
      </c>
      <c r="H109" s="106">
        <v>0</v>
      </c>
      <c r="I109" s="106">
        <v>0</v>
      </c>
      <c r="J109" s="712"/>
    </row>
    <row r="110" spans="2:14">
      <c r="B110" s="105" t="s">
        <v>78</v>
      </c>
      <c r="C110" s="73"/>
      <c r="D110" s="73"/>
      <c r="E110" s="106">
        <v>0.69</v>
      </c>
      <c r="F110" s="106">
        <v>0</v>
      </c>
      <c r="G110" s="106">
        <v>0</v>
      </c>
      <c r="H110" s="106">
        <v>0</v>
      </c>
      <c r="I110" s="106">
        <v>0</v>
      </c>
      <c r="J110" s="712"/>
    </row>
    <row r="111" spans="2:14">
      <c r="B111" s="105" t="s">
        <v>79</v>
      </c>
      <c r="C111" s="73"/>
      <c r="D111" s="73"/>
      <c r="E111" s="106">
        <v>1.1499999999999999</v>
      </c>
      <c r="F111" s="106">
        <v>0</v>
      </c>
      <c r="G111" s="106">
        <v>0</v>
      </c>
      <c r="H111" s="106">
        <v>0</v>
      </c>
      <c r="I111" s="106">
        <v>0</v>
      </c>
      <c r="J111" s="712"/>
    </row>
    <row r="112" spans="2:14">
      <c r="B112" s="105" t="s">
        <v>80</v>
      </c>
      <c r="C112" s="705">
        <v>0.23941679646380071</v>
      </c>
      <c r="D112" s="705">
        <v>0.23941679646380071</v>
      </c>
      <c r="E112" s="705">
        <v>0.23941679646380071</v>
      </c>
      <c r="F112" s="705">
        <v>0.23941679646380071</v>
      </c>
      <c r="G112" s="705">
        <v>0.23941679646380071</v>
      </c>
      <c r="H112" s="73"/>
      <c r="I112" s="73"/>
      <c r="J112" s="712"/>
    </row>
    <row r="113" spans="2:12">
      <c r="B113" s="105" t="s">
        <v>81</v>
      </c>
      <c r="C113" s="705">
        <v>-1.1368683772161603E-15</v>
      </c>
      <c r="D113" s="705">
        <v>-1.1368683772161603E-15</v>
      </c>
      <c r="E113" s="705">
        <v>-1.1368683772161603E-15</v>
      </c>
      <c r="F113" s="705">
        <v>-1.1368683772161603E-15</v>
      </c>
      <c r="G113" s="705">
        <v>-1.1368683772161603E-15</v>
      </c>
      <c r="H113" s="73"/>
      <c r="I113" s="73"/>
      <c r="J113" s="712"/>
    </row>
    <row r="114" spans="2:12">
      <c r="B114" s="105" t="s">
        <v>82</v>
      </c>
      <c r="C114" s="705">
        <v>-7.0993072540795777E-3</v>
      </c>
      <c r="D114" s="705">
        <v>-7.0993072540795777E-3</v>
      </c>
      <c r="E114" s="705">
        <v>-7.0993072540795777E-3</v>
      </c>
      <c r="F114" s="705">
        <v>-7.0993072540795777E-3</v>
      </c>
      <c r="G114" s="705">
        <v>-7.0993072540795777E-3</v>
      </c>
      <c r="H114" s="73"/>
      <c r="I114" s="73"/>
      <c r="J114" s="712"/>
    </row>
    <row r="115" spans="2:12">
      <c r="B115" s="105" t="s">
        <v>83</v>
      </c>
      <c r="C115" s="705">
        <v>-7.2862331602607357E-3</v>
      </c>
      <c r="D115" s="705">
        <v>-7.2862331602607357E-3</v>
      </c>
      <c r="E115" s="705">
        <v>-7.2862331602607357E-3</v>
      </c>
      <c r="F115" s="705">
        <v>-7.2862331602607357E-3</v>
      </c>
      <c r="G115" s="705">
        <v>-7.2862331602607357E-3</v>
      </c>
      <c r="H115" s="73"/>
      <c r="I115" s="73"/>
      <c r="J115" s="712"/>
    </row>
    <row r="116" spans="2:12">
      <c r="B116" s="105" t="s">
        <v>84</v>
      </c>
      <c r="C116" s="706">
        <v>1.149006</v>
      </c>
      <c r="D116" s="706">
        <v>1.149006</v>
      </c>
      <c r="E116" s="705">
        <v>1.149006</v>
      </c>
      <c r="F116" s="705">
        <v>1.149006</v>
      </c>
      <c r="G116" s="706">
        <v>1.149006</v>
      </c>
      <c r="H116" s="73"/>
      <c r="I116" s="73"/>
      <c r="J116" s="712"/>
    </row>
    <row r="117" spans="2:12">
      <c r="B117" s="105" t="s">
        <v>85</v>
      </c>
      <c r="C117" s="705">
        <v>0</v>
      </c>
      <c r="D117" s="705">
        <v>0</v>
      </c>
      <c r="E117" s="705">
        <v>0</v>
      </c>
      <c r="F117" s="705">
        <v>0</v>
      </c>
      <c r="G117" s="705">
        <v>0</v>
      </c>
      <c r="H117" s="73"/>
      <c r="I117" s="73"/>
      <c r="J117" s="712"/>
    </row>
    <row r="118" spans="2:12">
      <c r="B118" s="105" t="s">
        <v>86</v>
      </c>
      <c r="C118" s="705">
        <v>0</v>
      </c>
      <c r="D118" s="705">
        <v>0</v>
      </c>
      <c r="E118" s="705">
        <v>0</v>
      </c>
      <c r="F118" s="705">
        <v>0</v>
      </c>
      <c r="G118" s="705">
        <v>0</v>
      </c>
      <c r="H118" s="73"/>
      <c r="I118" s="73"/>
      <c r="J118" s="712"/>
    </row>
    <row r="119" spans="2:12">
      <c r="B119" s="105" t="s">
        <v>87</v>
      </c>
      <c r="C119" s="705">
        <v>0</v>
      </c>
      <c r="D119" s="705">
        <v>0</v>
      </c>
      <c r="E119" s="705">
        <v>0</v>
      </c>
      <c r="F119" s="705">
        <v>0</v>
      </c>
      <c r="G119" s="705">
        <v>0</v>
      </c>
      <c r="H119" s="73"/>
      <c r="I119" s="73"/>
      <c r="J119" s="712"/>
    </row>
    <row r="120" spans="2:12">
      <c r="B120" s="105" t="s">
        <v>88</v>
      </c>
      <c r="C120" s="705">
        <v>-4.3390000000000004</v>
      </c>
      <c r="D120" s="705">
        <v>-4.3390000000000004</v>
      </c>
      <c r="E120" s="705">
        <v>-4.3390000000000004</v>
      </c>
      <c r="F120" s="705">
        <v>-4.3390000000000004</v>
      </c>
      <c r="G120" s="705">
        <v>-4.3390000000000004</v>
      </c>
      <c r="H120" s="73"/>
      <c r="I120" s="73"/>
      <c r="J120" s="712"/>
    </row>
    <row r="121" spans="2:12">
      <c r="B121" s="105" t="s">
        <v>89</v>
      </c>
      <c r="C121" s="705">
        <v>0</v>
      </c>
      <c r="D121" s="705">
        <v>0</v>
      </c>
      <c r="E121" s="705">
        <v>0</v>
      </c>
      <c r="F121" s="705">
        <v>0</v>
      </c>
      <c r="G121" s="705">
        <v>0</v>
      </c>
      <c r="H121" s="73"/>
      <c r="I121" s="73"/>
      <c r="J121" s="712"/>
    </row>
    <row r="122" spans="2:12">
      <c r="B122" s="105" t="s">
        <v>90</v>
      </c>
      <c r="C122" s="705">
        <v>-4.3390000000000004</v>
      </c>
      <c r="D122" s="705">
        <v>-4.3390000000000004</v>
      </c>
      <c r="E122" s="705">
        <v>-4.3390000000000004</v>
      </c>
      <c r="F122" s="705">
        <v>-4.3390000000000004</v>
      </c>
      <c r="G122" s="705">
        <v>-4.3390000000000004</v>
      </c>
      <c r="H122" s="73"/>
      <c r="I122" s="73"/>
      <c r="J122" s="712"/>
    </row>
    <row r="123" spans="2:12">
      <c r="B123" s="105" t="s">
        <v>91</v>
      </c>
      <c r="C123" s="705">
        <v>-13</v>
      </c>
      <c r="D123" s="705">
        <v>-13</v>
      </c>
      <c r="E123" s="705">
        <v>-13</v>
      </c>
      <c r="F123" s="705">
        <v>-13</v>
      </c>
      <c r="G123" s="705">
        <v>-13</v>
      </c>
      <c r="H123" s="73"/>
      <c r="I123" s="73"/>
      <c r="J123" s="712"/>
    </row>
    <row r="124" spans="2:12">
      <c r="B124" s="105" t="s">
        <v>29</v>
      </c>
      <c r="C124" s="705">
        <v>0</v>
      </c>
      <c r="D124" s="705">
        <v>0</v>
      </c>
      <c r="E124" s="705">
        <v>0</v>
      </c>
      <c r="F124" s="705">
        <v>0</v>
      </c>
      <c r="G124" s="705">
        <v>0</v>
      </c>
      <c r="H124" s="73"/>
      <c r="I124" s="73"/>
      <c r="J124" s="712"/>
    </row>
    <row r="125" spans="2:12">
      <c r="B125" s="105" t="s">
        <v>92</v>
      </c>
      <c r="C125" s="705">
        <v>1</v>
      </c>
      <c r="D125" s="705">
        <v>1</v>
      </c>
      <c r="E125" s="705">
        <v>1</v>
      </c>
      <c r="F125" s="705">
        <v>1</v>
      </c>
      <c r="G125" s="705">
        <v>1</v>
      </c>
      <c r="H125" s="73"/>
      <c r="I125" s="73"/>
      <c r="J125" s="712"/>
    </row>
    <row r="126" spans="2:12">
      <c r="B126" s="107" t="s">
        <v>54</v>
      </c>
      <c r="C126" s="705">
        <v>4.3620000000000001</v>
      </c>
      <c r="D126" s="705">
        <v>4.3620000000000001</v>
      </c>
      <c r="E126" s="707">
        <v>4.3620000000000001</v>
      </c>
      <c r="F126" s="707">
        <v>4.3620000000000001</v>
      </c>
      <c r="G126" s="707">
        <v>4.3620000000000001</v>
      </c>
      <c r="H126" s="73"/>
      <c r="I126" s="73"/>
      <c r="J126" s="712"/>
    </row>
    <row r="127" spans="2:12">
      <c r="B127" s="34"/>
    </row>
    <row r="128" spans="2:12">
      <c r="B128" s="139" t="str">
        <f>LEFT('RFPR cover'!C8,2)</f>
        <v>ED</v>
      </c>
      <c r="C128" s="220"/>
      <c r="D128" s="220"/>
      <c r="E128" s="220"/>
      <c r="F128" s="220"/>
      <c r="G128" s="220"/>
      <c r="H128" s="220"/>
      <c r="I128" s="220"/>
      <c r="J128" s="220"/>
      <c r="K128" s="220"/>
      <c r="L128" s="140"/>
    </row>
    <row r="129" spans="1:14">
      <c r="A129" s="36"/>
      <c r="B129" s="58" t="s">
        <v>94</v>
      </c>
      <c r="C129" s="59"/>
      <c r="D129" s="59"/>
      <c r="E129" s="59"/>
      <c r="F129" s="57"/>
      <c r="G129" s="57"/>
      <c r="H129" s="57"/>
      <c r="I129" s="57"/>
      <c r="J129" s="57"/>
      <c r="K129" s="57"/>
      <c r="L129" s="57"/>
      <c r="M129" s="57"/>
      <c r="N129" s="57"/>
    </row>
    <row r="130" spans="1:14">
      <c r="A130" s="36"/>
      <c r="B130" s="82"/>
      <c r="C130" s="83"/>
      <c r="D130" s="83"/>
      <c r="E130" s="83"/>
      <c r="F130" s="84"/>
      <c r="G130" s="84"/>
      <c r="H130" s="84"/>
      <c r="I130" s="84"/>
    </row>
    <row r="131" spans="1:14">
      <c r="A131" s="35"/>
      <c r="B131" s="221" t="s">
        <v>95</v>
      </c>
      <c r="C131" s="37"/>
      <c r="D131" s="37"/>
      <c r="E131" s="243" t="b">
        <f>OR((LEFT('RFPR cover'!$C$8,2)=Data!G131),'RFPR cover'!$C$7=Data!G131)</f>
        <v>1</v>
      </c>
      <c r="F131" s="286">
        <f t="shared" ref="F131:F133" si="22">IF(E131,1,0)</f>
        <v>1</v>
      </c>
      <c r="G131" s="244" t="str">
        <f>B141</f>
        <v>ED</v>
      </c>
    </row>
    <row r="132" spans="1:14" ht="16.5" customHeight="1">
      <c r="A132" s="35"/>
      <c r="B132" s="86" t="str">
        <f>IF(SUM($F$131:$F$138)=0,"",CHOOSE(MATCH(TRUE,$E$131:$E$138,0),B142,B153,B164,E164,B175,E175,B185,E185)&amp;"")</f>
        <v>Time to connect ODI</v>
      </c>
      <c r="C132" s="37"/>
      <c r="D132" s="37"/>
      <c r="E132" s="283" t="b">
        <f>OR((LEFT('RFPR cover'!$C$8,2)=Data!G132),'RFPR cover'!$C$7=Data!G132)</f>
        <v>0</v>
      </c>
      <c r="F132" s="233">
        <f t="shared" si="22"/>
        <v>0</v>
      </c>
      <c r="G132" s="234" t="str">
        <f>B152</f>
        <v>GD</v>
      </c>
    </row>
    <row r="133" spans="1:14">
      <c r="A133" s="35"/>
      <c r="B133" s="86" t="str">
        <f t="shared" ref="B133:B139" si="23">IF(SUM($F$131:$F$138)=0,"",CHOOSE(MATCH(TRUE,$E$131:$E$138,0),B143,B154,B165,E165,B176,E176,B186,E186)&amp;"")</f>
        <v>Broad Measure of Customer Service ODI</v>
      </c>
      <c r="C133" s="37"/>
      <c r="D133" s="37"/>
      <c r="E133" s="283" t="b">
        <f>OR((LEFT('RFPR cover'!$C$8,2)=Data!G133),'RFPR cover'!$C$7=Data!G133)</f>
        <v>0</v>
      </c>
      <c r="F133" s="233">
        <f t="shared" si="22"/>
        <v>0</v>
      </c>
      <c r="G133" s="235" t="str">
        <f>B163</f>
        <v>NGGT (TO)</v>
      </c>
    </row>
    <row r="134" spans="1:14">
      <c r="A134" s="35"/>
      <c r="B134" s="86" t="str">
        <f t="shared" si="23"/>
        <v>Interruptions incentive scheme ODI</v>
      </c>
      <c r="C134" s="37"/>
      <c r="D134" s="37"/>
      <c r="E134" s="283" t="b">
        <f>OR((LEFT('RFPR cover'!$C$8,2)=Data!G134),'RFPR cover'!$C$7=Data!G134)</f>
        <v>0</v>
      </c>
      <c r="F134" s="233">
        <f>IF(E134,1,0)</f>
        <v>0</v>
      </c>
      <c r="G134" s="235" t="str">
        <f>E163</f>
        <v>NGGT (TO+SO)</v>
      </c>
    </row>
    <row r="135" spans="1:14">
      <c r="A135" s="35"/>
      <c r="B135" s="86" t="str">
        <f t="shared" si="23"/>
        <v>Major connections ODI</v>
      </c>
      <c r="C135" s="37"/>
      <c r="D135" s="37"/>
      <c r="E135" s="283" t="b">
        <f>OR((LEFT('RFPR cover'!$C$8,2)=Data!G135),'RFPR cover'!$C$7=Data!G135)</f>
        <v>0</v>
      </c>
      <c r="F135" s="233">
        <f>IF(E135,1,0)</f>
        <v>0</v>
      </c>
      <c r="G135" s="235" t="str">
        <f>B174</f>
        <v>NGET (TO)</v>
      </c>
    </row>
    <row r="136" spans="1:14">
      <c r="A136" s="35"/>
      <c r="B136" s="86" t="str">
        <f t="shared" si="23"/>
        <v>Consumer Vulnerability ODI</v>
      </c>
      <c r="C136" s="37"/>
      <c r="D136" s="37"/>
      <c r="E136" s="283" t="b">
        <f>OR((LEFT('RFPR cover'!$C$8,2)=Data!G136),'RFPR cover'!$C$7=Data!G136)</f>
        <v>0</v>
      </c>
      <c r="F136" s="233">
        <f t="shared" ref="F136" si="24">IF(E136,1,0)</f>
        <v>0</v>
      </c>
      <c r="G136" s="235" t="str">
        <f>E174</f>
        <v>ESO</v>
      </c>
    </row>
    <row r="137" spans="1:14">
      <c r="A137" s="35"/>
      <c r="B137" s="86" t="str">
        <f t="shared" si="23"/>
        <v>Distribution System Operator ODI</v>
      </c>
      <c r="C137" s="37"/>
      <c r="D137" s="37"/>
      <c r="E137" s="283" t="b">
        <f>OR((LEFT('RFPR cover'!$C$8,2)=Data!G137),'RFPR cover'!$C$7=Data!G137)</f>
        <v>0</v>
      </c>
      <c r="F137" s="233">
        <f>IF(E137,1,0)</f>
        <v>0</v>
      </c>
      <c r="G137" s="235" t="str">
        <f>B184</f>
        <v>SPT</v>
      </c>
    </row>
    <row r="138" spans="1:14">
      <c r="A138" s="35"/>
      <c r="B138" s="86" t="str">
        <f t="shared" si="23"/>
        <v>Dig, Fix and Go ODI (ENWL only)</v>
      </c>
      <c r="C138" s="37"/>
      <c r="D138" s="37"/>
      <c r="E138" s="236" t="b">
        <f>OR((LEFT('RFPR cover'!$C$8,2)=Data!G138),'RFPR cover'!$C$7=Data!G138)</f>
        <v>0</v>
      </c>
      <c r="F138" s="237">
        <f>IF(E138,1,0)</f>
        <v>0</v>
      </c>
      <c r="G138" s="238" t="s">
        <v>54</v>
      </c>
    </row>
    <row r="139" spans="1:14">
      <c r="A139" s="35"/>
      <c r="B139" s="86" t="str">
        <f t="shared" si="23"/>
        <v>Collaborative Streetworks ODI (EPN, LPN and SPN only)</v>
      </c>
      <c r="C139" s="37"/>
      <c r="D139" s="37"/>
    </row>
    <row r="140" spans="1:14">
      <c r="A140" s="35"/>
      <c r="B140" s="37"/>
      <c r="C140" s="37"/>
      <c r="D140" s="37"/>
      <c r="E140" s="11"/>
      <c r="F140" s="85"/>
    </row>
    <row r="141" spans="1:14">
      <c r="A141" s="35"/>
      <c r="B141" s="785" t="s">
        <v>19</v>
      </c>
      <c r="C141" s="786"/>
      <c r="D141" s="37"/>
      <c r="E141" s="37"/>
    </row>
    <row r="142" spans="1:14">
      <c r="A142" s="35"/>
      <c r="B142" s="804" t="s">
        <v>96</v>
      </c>
      <c r="C142" s="805"/>
      <c r="D142" s="37"/>
      <c r="E142" s="37"/>
    </row>
    <row r="143" spans="1:14">
      <c r="A143" s="35"/>
      <c r="B143" s="783" t="s">
        <v>97</v>
      </c>
      <c r="C143" s="784"/>
      <c r="D143" s="37"/>
      <c r="E143" s="37"/>
    </row>
    <row r="144" spans="1:14">
      <c r="A144" s="35"/>
      <c r="B144" s="783" t="s">
        <v>98</v>
      </c>
      <c r="C144" s="784"/>
      <c r="D144" s="37"/>
      <c r="E144" s="37"/>
    </row>
    <row r="145" spans="1:7">
      <c r="A145" s="35"/>
      <c r="B145" s="783" t="s">
        <v>99</v>
      </c>
      <c r="C145" s="784"/>
      <c r="D145" s="37"/>
      <c r="E145" s="37"/>
    </row>
    <row r="146" spans="1:7">
      <c r="A146" s="35"/>
      <c r="B146" s="783" t="s">
        <v>100</v>
      </c>
      <c r="C146" s="784"/>
      <c r="D146" s="37"/>
      <c r="E146" s="37"/>
    </row>
    <row r="147" spans="1:7">
      <c r="A147" s="35"/>
      <c r="B147" s="783" t="s">
        <v>101</v>
      </c>
      <c r="C147" s="784"/>
      <c r="D147" s="37"/>
      <c r="E147" s="37"/>
    </row>
    <row r="148" spans="1:7">
      <c r="A148" s="35"/>
      <c r="B148" s="783" t="s">
        <v>102</v>
      </c>
      <c r="C148" s="784"/>
      <c r="D148" s="37"/>
      <c r="E148" s="37"/>
    </row>
    <row r="149" spans="1:7">
      <c r="A149" s="35"/>
      <c r="B149" s="800" t="s">
        <v>103</v>
      </c>
      <c r="C149" s="801"/>
      <c r="D149" s="37"/>
      <c r="E149" s="37"/>
    </row>
    <row r="150" spans="1:7">
      <c r="A150" s="35"/>
      <c r="B150" s="37"/>
      <c r="C150" s="37"/>
      <c r="D150" s="37"/>
      <c r="E150" s="37"/>
    </row>
    <row r="151" spans="1:7">
      <c r="A151" s="35"/>
      <c r="B151" s="37"/>
      <c r="C151" s="37"/>
      <c r="D151" s="37"/>
      <c r="E151" s="37"/>
    </row>
    <row r="152" spans="1:7">
      <c r="A152" s="35"/>
      <c r="B152" s="785" t="s">
        <v>25</v>
      </c>
      <c r="C152" s="786"/>
      <c r="D152" s="37"/>
      <c r="E152" s="37"/>
    </row>
    <row r="153" spans="1:7">
      <c r="A153" s="35"/>
      <c r="B153" s="804" t="s">
        <v>104</v>
      </c>
      <c r="C153" s="805"/>
      <c r="E153" s="37"/>
    </row>
    <row r="154" spans="1:7">
      <c r="A154" s="35"/>
      <c r="B154" s="783" t="s">
        <v>105</v>
      </c>
      <c r="C154" s="784"/>
      <c r="D154" s="37"/>
      <c r="E154" s="37"/>
    </row>
    <row r="155" spans="1:7" ht="25.5" customHeight="1">
      <c r="A155" s="35"/>
      <c r="B155" s="783" t="s">
        <v>106</v>
      </c>
      <c r="C155" s="784"/>
      <c r="D155" s="37"/>
      <c r="E155" s="37"/>
      <c r="G155" t="s">
        <v>107</v>
      </c>
    </row>
    <row r="156" spans="1:7" ht="25.5" customHeight="1">
      <c r="A156" s="35"/>
      <c r="B156" s="783" t="s">
        <v>108</v>
      </c>
      <c r="C156" s="784"/>
      <c r="D156" s="37"/>
      <c r="E156" s="37"/>
    </row>
    <row r="157" spans="1:7" ht="14.25" customHeight="1">
      <c r="A157" s="35"/>
      <c r="B157" s="783" t="s">
        <v>109</v>
      </c>
      <c r="C157" s="784"/>
      <c r="D157" s="37"/>
      <c r="E157" s="37"/>
    </row>
    <row r="158" spans="1:7" ht="25.5" customHeight="1">
      <c r="A158" s="35"/>
      <c r="B158" s="783" t="s">
        <v>110</v>
      </c>
      <c r="C158" s="784"/>
      <c r="D158" s="37"/>
      <c r="E158" s="37"/>
    </row>
    <row r="159" spans="1:7" ht="12" customHeight="1">
      <c r="A159" s="35"/>
      <c r="B159" s="783"/>
      <c r="C159" s="784"/>
      <c r="D159" s="37"/>
      <c r="E159" s="37"/>
    </row>
    <row r="160" spans="1:7">
      <c r="A160" s="35"/>
      <c r="B160" s="800"/>
      <c r="C160" s="801"/>
      <c r="D160" s="37"/>
      <c r="E160" s="37"/>
    </row>
    <row r="161" spans="1:9">
      <c r="A161" s="35"/>
      <c r="B161" s="37"/>
      <c r="C161" s="37"/>
      <c r="D161" s="37"/>
      <c r="E161" s="37"/>
    </row>
    <row r="162" spans="1:9">
      <c r="A162" s="35"/>
      <c r="B162" s="37"/>
      <c r="C162" s="37"/>
      <c r="D162" s="37"/>
      <c r="E162" s="37"/>
    </row>
    <row r="163" spans="1:9" ht="12.75" customHeight="1">
      <c r="A163" s="35"/>
      <c r="B163" s="768" t="s">
        <v>88</v>
      </c>
      <c r="C163" s="769"/>
      <c r="D163" s="37"/>
      <c r="E163" s="807" t="s">
        <v>90</v>
      </c>
      <c r="F163" s="807"/>
      <c r="G163" s="807"/>
      <c r="H163" s="808"/>
      <c r="I163" s="13"/>
    </row>
    <row r="164" spans="1:9" ht="12.75" customHeight="1">
      <c r="A164" s="35"/>
      <c r="B164" s="804" t="s">
        <v>111</v>
      </c>
      <c r="C164" s="805"/>
      <c r="E164" s="790"/>
      <c r="F164" s="791"/>
      <c r="G164" s="791"/>
      <c r="H164" s="791"/>
      <c r="I164" s="81"/>
    </row>
    <row r="165" spans="1:9" ht="12.75" customHeight="1">
      <c r="A165" s="35"/>
      <c r="B165" s="783" t="s">
        <v>112</v>
      </c>
      <c r="C165" s="784"/>
      <c r="E165" s="790"/>
      <c r="F165" s="791"/>
      <c r="G165" s="791"/>
      <c r="H165" s="791"/>
      <c r="I165" s="81"/>
    </row>
    <row r="166" spans="1:9" ht="12.75" customHeight="1">
      <c r="A166" s="35"/>
      <c r="B166" s="783"/>
      <c r="C166" s="784"/>
      <c r="D166" s="37"/>
      <c r="E166" s="809" t="s">
        <v>111</v>
      </c>
      <c r="F166" s="809"/>
      <c r="G166" s="809"/>
      <c r="H166" s="809"/>
      <c r="I166" s="81"/>
    </row>
    <row r="167" spans="1:9" ht="12.75" customHeight="1">
      <c r="A167" s="35"/>
      <c r="B167" s="783"/>
      <c r="C167" s="784"/>
      <c r="D167" s="37"/>
      <c r="E167" s="810" t="s">
        <v>112</v>
      </c>
      <c r="F167" s="810"/>
      <c r="G167" s="810"/>
      <c r="H167" s="810"/>
      <c r="I167" s="81"/>
    </row>
    <row r="168" spans="1:9" ht="12.75" customHeight="1">
      <c r="A168" s="35"/>
      <c r="B168" s="783"/>
      <c r="C168" s="784"/>
      <c r="D168" s="37"/>
      <c r="E168" s="806"/>
      <c r="F168" s="806"/>
      <c r="G168" s="806"/>
      <c r="H168" s="806"/>
      <c r="I168" s="81"/>
    </row>
    <row r="169" spans="1:9" ht="12.75" customHeight="1">
      <c r="A169" s="35"/>
      <c r="B169" s="783"/>
      <c r="C169" s="784"/>
      <c r="D169" s="37"/>
      <c r="E169" s="806"/>
      <c r="F169" s="806"/>
      <c r="G169" s="806"/>
      <c r="H169" s="806"/>
      <c r="I169" s="81"/>
    </row>
    <row r="170" spans="1:9" ht="12.75" customHeight="1">
      <c r="A170" s="35"/>
      <c r="B170" s="783"/>
      <c r="C170" s="784"/>
      <c r="D170" s="37"/>
      <c r="E170" s="769"/>
      <c r="F170" s="769"/>
      <c r="G170" s="769"/>
      <c r="H170" s="769"/>
      <c r="I170" s="81"/>
    </row>
    <row r="171" spans="1:9" ht="12" customHeight="1">
      <c r="A171" s="35"/>
      <c r="B171" s="800"/>
      <c r="C171" s="801"/>
      <c r="D171" s="37"/>
      <c r="E171" s="786"/>
      <c r="F171" s="786"/>
      <c r="G171" s="786"/>
      <c r="H171" s="786"/>
      <c r="I171" s="81"/>
    </row>
    <row r="172" spans="1:9">
      <c r="A172" s="35"/>
      <c r="B172" s="37"/>
      <c r="C172" s="37"/>
      <c r="D172" s="37"/>
      <c r="E172" s="37"/>
    </row>
    <row r="173" spans="1:9">
      <c r="A173" s="35"/>
      <c r="B173" s="37"/>
      <c r="C173" s="37"/>
      <c r="D173" s="37"/>
      <c r="E173" s="37"/>
    </row>
    <row r="174" spans="1:9">
      <c r="A174" s="35"/>
      <c r="B174" s="802" t="s">
        <v>91</v>
      </c>
      <c r="C174" s="803"/>
      <c r="D174" s="37"/>
      <c r="E174" s="768" t="s">
        <v>29</v>
      </c>
      <c r="F174" s="768"/>
      <c r="G174" s="768"/>
      <c r="H174" s="769"/>
      <c r="I174" s="13"/>
    </row>
    <row r="175" spans="1:9" ht="13.5" customHeight="1">
      <c r="A175" s="35"/>
      <c r="B175" s="804" t="s">
        <v>113</v>
      </c>
      <c r="C175" s="805"/>
      <c r="E175" s="785" t="s">
        <v>114</v>
      </c>
      <c r="F175" s="813"/>
      <c r="G175" s="813"/>
      <c r="H175" s="814"/>
      <c r="I175" s="81"/>
    </row>
    <row r="176" spans="1:9" ht="12.75" customHeight="1">
      <c r="A176" s="35"/>
      <c r="B176" s="783" t="s">
        <v>115</v>
      </c>
      <c r="C176" s="784"/>
      <c r="E176" s="815"/>
      <c r="F176" s="815"/>
      <c r="G176" s="815"/>
      <c r="H176" s="816"/>
      <c r="I176" s="81"/>
    </row>
    <row r="177" spans="1:9" ht="13.5" customHeight="1">
      <c r="A177" s="35"/>
      <c r="B177" s="783" t="s">
        <v>116</v>
      </c>
      <c r="C177" s="784"/>
      <c r="E177" s="766"/>
      <c r="F177" s="766"/>
      <c r="G177" s="766"/>
      <c r="H177" s="767"/>
      <c r="I177" s="81"/>
    </row>
    <row r="178" spans="1:9" ht="12.75" customHeight="1">
      <c r="A178" s="35"/>
      <c r="B178" s="783" t="s">
        <v>117</v>
      </c>
      <c r="C178" s="784"/>
      <c r="E178" s="766"/>
      <c r="F178" s="766"/>
      <c r="G178" s="766"/>
      <c r="H178" s="767"/>
      <c r="I178" s="81"/>
    </row>
    <row r="179" spans="1:9" ht="13.5" customHeight="1">
      <c r="A179" s="35"/>
      <c r="B179" s="783" t="s">
        <v>118</v>
      </c>
      <c r="C179" s="784"/>
      <c r="E179" s="766"/>
      <c r="F179" s="766"/>
      <c r="G179" s="766"/>
      <c r="H179" s="767"/>
      <c r="I179" s="81"/>
    </row>
    <row r="180" spans="1:9" ht="13.5" customHeight="1">
      <c r="A180" s="35"/>
      <c r="B180" s="783" t="s">
        <v>119</v>
      </c>
      <c r="C180" s="784"/>
      <c r="E180" s="766"/>
      <c r="F180" s="766"/>
      <c r="G180" s="766"/>
      <c r="H180" s="767"/>
      <c r="I180" s="81"/>
    </row>
    <row r="181" spans="1:9">
      <c r="A181" s="35"/>
      <c r="B181" s="800"/>
      <c r="C181" s="801"/>
      <c r="D181" s="37"/>
      <c r="E181" s="811"/>
      <c r="F181" s="811"/>
      <c r="G181" s="81"/>
      <c r="H181" s="81"/>
      <c r="I181" s="81"/>
    </row>
    <row r="182" spans="1:9" ht="12.75" customHeight="1">
      <c r="A182" s="35"/>
      <c r="B182" s="35"/>
      <c r="C182" s="35"/>
      <c r="D182" s="37"/>
      <c r="E182" s="81"/>
      <c r="F182" s="81"/>
      <c r="G182" s="81"/>
      <c r="H182" s="81"/>
      <c r="I182" s="81"/>
    </row>
    <row r="183" spans="1:9" ht="12.75" customHeight="1">
      <c r="A183" s="35"/>
      <c r="B183" s="35"/>
      <c r="C183" s="35"/>
      <c r="D183" s="37"/>
      <c r="E183" s="81"/>
      <c r="F183" s="81"/>
      <c r="G183" s="81"/>
      <c r="H183" s="81"/>
      <c r="I183" s="81"/>
    </row>
    <row r="184" spans="1:9" ht="12.75" customHeight="1">
      <c r="A184" s="35"/>
      <c r="B184" s="768" t="s">
        <v>92</v>
      </c>
      <c r="C184" s="769"/>
      <c r="D184" s="37"/>
      <c r="E184" s="768" t="s">
        <v>54</v>
      </c>
      <c r="F184" s="768"/>
      <c r="G184" s="768"/>
      <c r="H184" s="769"/>
      <c r="I184" s="118"/>
    </row>
    <row r="185" spans="1:9" ht="12.75" customHeight="1">
      <c r="A185" s="35"/>
      <c r="B185" s="804" t="s">
        <v>113</v>
      </c>
      <c r="C185" s="812"/>
      <c r="E185" s="787" t="s">
        <v>113</v>
      </c>
      <c r="F185" s="788"/>
      <c r="G185" s="788"/>
      <c r="H185" s="789"/>
      <c r="I185" s="81"/>
    </row>
    <row r="186" spans="1:9" ht="12.75" customHeight="1">
      <c r="A186" s="35"/>
      <c r="B186" s="783" t="s">
        <v>115</v>
      </c>
      <c r="C186" s="794"/>
      <c r="E186" s="787" t="s">
        <v>115</v>
      </c>
      <c r="F186" s="788"/>
      <c r="G186" s="788"/>
      <c r="H186" s="789"/>
      <c r="I186" s="81"/>
    </row>
    <row r="187" spans="1:9" ht="12.75" customHeight="1">
      <c r="A187" s="35"/>
      <c r="B187" s="783" t="s">
        <v>116</v>
      </c>
      <c r="C187" s="794"/>
      <c r="E187" s="787" t="s">
        <v>116</v>
      </c>
      <c r="F187" s="788"/>
      <c r="G187" s="788"/>
      <c r="H187" s="789"/>
      <c r="I187" s="81"/>
    </row>
    <row r="188" spans="1:9" ht="12.75" customHeight="1">
      <c r="A188" s="35"/>
      <c r="B188" s="783" t="s">
        <v>117</v>
      </c>
      <c r="C188" s="794"/>
      <c r="E188" s="787" t="s">
        <v>117</v>
      </c>
      <c r="F188" s="788"/>
      <c r="G188" s="788"/>
      <c r="H188" s="789"/>
      <c r="I188" s="81"/>
    </row>
    <row r="189" spans="1:9" ht="12.75" customHeight="1">
      <c r="A189" s="35"/>
      <c r="B189" s="783" t="s">
        <v>118</v>
      </c>
      <c r="C189" s="794"/>
      <c r="E189" s="787" t="s">
        <v>118</v>
      </c>
      <c r="F189" s="788"/>
      <c r="G189" s="788"/>
      <c r="H189" s="789"/>
      <c r="I189" s="81"/>
    </row>
    <row r="190" spans="1:9" ht="12.75" customHeight="1">
      <c r="A190" s="35"/>
      <c r="B190" s="783" t="s">
        <v>119</v>
      </c>
      <c r="C190" s="794"/>
      <c r="E190" s="787" t="s">
        <v>119</v>
      </c>
      <c r="F190" s="788"/>
      <c r="G190" s="788"/>
      <c r="H190" s="789"/>
      <c r="I190" s="81"/>
    </row>
    <row r="191" spans="1:9">
      <c r="A191" s="35"/>
      <c r="B191" s="770"/>
      <c r="C191" s="771"/>
      <c r="D191" s="37"/>
      <c r="E191" s="770"/>
      <c r="F191" s="770"/>
      <c r="G191" s="770"/>
      <c r="H191" s="771"/>
      <c r="I191" s="81"/>
    </row>
    <row r="192" spans="1:9" ht="12.6" customHeight="1">
      <c r="A192" s="35"/>
      <c r="D192" s="37"/>
      <c r="E192" s="37"/>
    </row>
    <row r="193" spans="1:13" ht="12.6" customHeight="1">
      <c r="A193" s="35"/>
      <c r="B193" s="58" t="s">
        <v>120</v>
      </c>
      <c r="C193" s="59"/>
      <c r="D193" s="59"/>
      <c r="E193" s="59"/>
      <c r="F193" s="57"/>
      <c r="G193" s="57"/>
      <c r="H193" s="57"/>
      <c r="I193" s="57"/>
      <c r="J193" s="57"/>
      <c r="K193" s="57"/>
      <c r="L193" s="57"/>
      <c r="M193" s="57"/>
    </row>
    <row r="194" spans="1:13" ht="12.6" customHeight="1">
      <c r="A194" s="35"/>
      <c r="B194" s="82"/>
      <c r="C194" s="83"/>
      <c r="D194" s="83"/>
      <c r="E194" s="83"/>
      <c r="F194" s="84"/>
      <c r="G194" s="84"/>
      <c r="H194" s="84"/>
      <c r="I194" s="84"/>
    </row>
    <row r="195" spans="1:13" ht="12.6" customHeight="1">
      <c r="A195" s="35"/>
      <c r="B195" s="221" t="s">
        <v>121</v>
      </c>
      <c r="C195" s="37"/>
      <c r="D195" s="37"/>
      <c r="E195" s="243" t="b">
        <f>OR((LEFT('RFPR cover'!$C$8,2)=Data!F195),'RFPR cover'!$C$7=Data!F195)</f>
        <v>1</v>
      </c>
      <c r="F195" s="244" t="str">
        <f>B206</f>
        <v>ED</v>
      </c>
    </row>
    <row r="196" spans="1:13" ht="19.5" customHeight="1">
      <c r="A196" s="35"/>
      <c r="B196" s="86" t="str">
        <f>CHOOSE(MATCH(TRUE,$E$195:$E$203,0),B207,B218,B229,E229,B240,E240,B251,E251,B262)&amp;""</f>
        <v>Network Innovation Allowance</v>
      </c>
      <c r="C196" s="37"/>
      <c r="D196" s="37"/>
      <c r="E196" s="283" t="b">
        <f>OR((LEFT('RFPR cover'!$C$8,2)=Data!F196),'RFPR cover'!$C$7=Data!F196)</f>
        <v>0</v>
      </c>
      <c r="F196" s="234" t="str">
        <f>B217</f>
        <v>GD</v>
      </c>
    </row>
    <row r="197" spans="1:13" ht="22.5" customHeight="1">
      <c r="A197" s="35"/>
      <c r="B197" s="86" t="str">
        <f t="shared" ref="B197:B203" si="25">CHOOSE(MATCH(TRUE,$E$195:$E$203,0),B208,B219,B230,E230,B241,E241,B252,E252,B263)&amp;""</f>
        <v>Carry-over Network Innovation Allowance</v>
      </c>
      <c r="C197" s="37"/>
      <c r="D197" s="37"/>
      <c r="E197" s="283" t="b">
        <f>OR((LEFT('RFPR cover'!$C$8,2)=Data!F197),'RFPR cover'!$C$7=Data!F197)</f>
        <v>0</v>
      </c>
      <c r="F197" s="235" t="str">
        <f>B228</f>
        <v>NGGT (TO)</v>
      </c>
    </row>
    <row r="198" spans="1:13" ht="19.5" customHeight="1">
      <c r="A198" s="35"/>
      <c r="B198" s="86" t="str">
        <f t="shared" si="25"/>
        <v/>
      </c>
      <c r="C198" s="37"/>
      <c r="D198" s="37"/>
      <c r="E198" s="283" t="b">
        <f>OR((LEFT('RFPR cover'!$C$8,2)=Data!F198),'RFPR cover'!$C$7=Data!F198)</f>
        <v>0</v>
      </c>
      <c r="F198" s="235" t="str">
        <f>E228</f>
        <v>NGGT (SO)</v>
      </c>
    </row>
    <row r="199" spans="1:13" ht="19.5" customHeight="1">
      <c r="A199" s="35"/>
      <c r="B199" s="86" t="str">
        <f t="shared" si="25"/>
        <v/>
      </c>
      <c r="C199" s="37"/>
      <c r="D199" s="37"/>
      <c r="E199" s="283" t="b">
        <f>OR((LEFT('RFPR cover'!$C$8,2)=Data!F199),'RFPR cover'!$C$7=Data!F199)</f>
        <v>0</v>
      </c>
      <c r="F199" s="235" t="str">
        <f>B239</f>
        <v>NGGT (TO+SO)</v>
      </c>
      <c r="G199" s="712"/>
    </row>
    <row r="200" spans="1:13" ht="19.5" customHeight="1">
      <c r="A200" s="35"/>
      <c r="B200" s="86" t="str">
        <f t="shared" si="25"/>
        <v/>
      </c>
      <c r="C200" s="37"/>
      <c r="D200" s="37"/>
      <c r="E200" s="283" t="b">
        <f>OR((LEFT('RFPR cover'!$C$8,2)=Data!F200),'RFPR cover'!$C$7=Data!F200)</f>
        <v>0</v>
      </c>
      <c r="F200" s="235" t="str">
        <f>E239</f>
        <v>NGET (TO)</v>
      </c>
    </row>
    <row r="201" spans="1:13" ht="19.5" customHeight="1">
      <c r="A201" s="35"/>
      <c r="B201" s="86" t="str">
        <f t="shared" si="25"/>
        <v/>
      </c>
      <c r="C201" s="37"/>
      <c r="D201" s="37"/>
      <c r="E201" s="283" t="b">
        <f>OR((LEFT('RFPR cover'!$C$8,2)=Data!F201),'RFPR cover'!$C$7=Data!F201)</f>
        <v>0</v>
      </c>
      <c r="F201" s="235" t="str">
        <f>B250</f>
        <v>ESO</v>
      </c>
    </row>
    <row r="202" spans="1:13" ht="19.5" customHeight="1">
      <c r="A202" s="35"/>
      <c r="B202" s="86" t="str">
        <f t="shared" si="25"/>
        <v/>
      </c>
      <c r="C202" s="37"/>
      <c r="D202" s="37"/>
      <c r="E202" s="283" t="b">
        <f>OR((LEFT('RFPR cover'!$C$8,2)=Data!F202),'RFPR cover'!$C$7=Data!F202)</f>
        <v>0</v>
      </c>
      <c r="F202" s="235" t="str">
        <f>E250</f>
        <v>SPT</v>
      </c>
    </row>
    <row r="203" spans="1:13" ht="19.5" customHeight="1">
      <c r="A203" s="35"/>
      <c r="B203" s="86" t="str">
        <f t="shared" si="25"/>
        <v/>
      </c>
      <c r="C203" s="37"/>
      <c r="D203" s="37"/>
      <c r="E203" s="236" t="b">
        <f>OR((LEFT('RFPR cover'!$C$8,2)=Data!F203),'RFPR cover'!$C$7=Data!F203)</f>
        <v>0</v>
      </c>
      <c r="F203" s="238" t="str">
        <f>B261</f>
        <v>SHET</v>
      </c>
      <c r="G203" s="37"/>
      <c r="H203" s="37"/>
      <c r="I203" s="37"/>
    </row>
    <row r="204" spans="1:13" ht="12.75" customHeight="1">
      <c r="A204" s="35"/>
      <c r="B204" s="37"/>
      <c r="C204" s="37"/>
      <c r="D204" s="37"/>
      <c r="E204" s="11"/>
      <c r="F204" s="85"/>
    </row>
    <row r="205" spans="1:13" ht="12.75" customHeight="1">
      <c r="A205" s="35"/>
      <c r="B205" s="116"/>
      <c r="C205" s="116"/>
      <c r="D205" s="37"/>
      <c r="E205" s="11"/>
      <c r="F205" s="85"/>
    </row>
    <row r="206" spans="1:13" ht="12.75" customHeight="1">
      <c r="A206" s="35"/>
      <c r="B206" s="818" t="s">
        <v>19</v>
      </c>
      <c r="C206" s="819"/>
      <c r="D206" s="37"/>
      <c r="E206" s="37"/>
    </row>
    <row r="207" spans="1:13" ht="12.75" customHeight="1">
      <c r="A207" s="35"/>
      <c r="B207" s="781" t="s">
        <v>122</v>
      </c>
      <c r="C207" s="782"/>
      <c r="D207" s="37"/>
      <c r="E207" s="37"/>
    </row>
    <row r="208" spans="1:13" ht="12.75" customHeight="1">
      <c r="A208" s="35"/>
      <c r="B208" s="766" t="s">
        <v>123</v>
      </c>
      <c r="C208" s="767"/>
      <c r="D208" s="37"/>
      <c r="E208" s="37"/>
    </row>
    <row r="209" spans="1:5" ht="12.75" customHeight="1">
      <c r="A209" s="35"/>
      <c r="B209" s="766"/>
      <c r="C209" s="767"/>
      <c r="D209" s="37"/>
      <c r="E209" s="37"/>
    </row>
    <row r="210" spans="1:5" ht="12.75" customHeight="1">
      <c r="A210" s="35"/>
      <c r="B210" s="766"/>
      <c r="C210" s="767"/>
      <c r="D210" s="37"/>
      <c r="E210" s="37"/>
    </row>
    <row r="211" spans="1:5" ht="12.75" customHeight="1">
      <c r="A211" s="35"/>
      <c r="B211" s="766"/>
      <c r="C211" s="767"/>
      <c r="D211" s="37"/>
      <c r="E211" s="37"/>
    </row>
    <row r="212" spans="1:5" ht="12.75" customHeight="1">
      <c r="A212" s="35"/>
      <c r="B212" s="766"/>
      <c r="C212" s="767"/>
      <c r="D212" s="37"/>
      <c r="E212" s="37"/>
    </row>
    <row r="213" spans="1:5">
      <c r="A213" s="35"/>
      <c r="B213" s="766"/>
      <c r="C213" s="767"/>
      <c r="D213" s="37"/>
      <c r="E213" s="37"/>
    </row>
    <row r="214" spans="1:5" ht="12.75" customHeight="1">
      <c r="A214" s="35"/>
      <c r="B214" s="770"/>
      <c r="C214" s="771"/>
      <c r="D214" s="37"/>
      <c r="E214" s="37"/>
    </row>
    <row r="215" spans="1:5" ht="12.75" customHeight="1">
      <c r="A215" s="35"/>
      <c r="B215" s="37"/>
      <c r="C215" s="37"/>
      <c r="D215" s="37"/>
      <c r="E215" s="37"/>
    </row>
    <row r="216" spans="1:5" ht="12.75" customHeight="1">
      <c r="A216" s="35"/>
      <c r="B216" s="37"/>
      <c r="C216" s="37"/>
      <c r="D216" s="37"/>
      <c r="E216" s="37"/>
    </row>
    <row r="217" spans="1:5" ht="12.75" customHeight="1">
      <c r="A217" s="35"/>
      <c r="B217" s="785" t="s">
        <v>25</v>
      </c>
      <c r="C217" s="786"/>
      <c r="D217" s="37"/>
      <c r="E217" s="37"/>
    </row>
    <row r="218" spans="1:5" ht="12.75" customHeight="1">
      <c r="A218" s="35"/>
      <c r="B218" s="781" t="s">
        <v>124</v>
      </c>
      <c r="C218" s="782"/>
      <c r="E218" s="37"/>
    </row>
    <row r="219" spans="1:5" ht="12.75" customHeight="1">
      <c r="A219" s="35"/>
      <c r="B219" s="766" t="s">
        <v>125</v>
      </c>
      <c r="C219" s="767"/>
      <c r="D219" s="37"/>
      <c r="E219" s="37"/>
    </row>
    <row r="220" spans="1:5" ht="12.75" customHeight="1">
      <c r="A220" s="35"/>
      <c r="B220" s="766"/>
      <c r="C220" s="767"/>
      <c r="D220" s="37"/>
      <c r="E220" s="37"/>
    </row>
    <row r="221" spans="1:5" ht="12.75" customHeight="1">
      <c r="A221" s="35"/>
      <c r="B221" s="766"/>
      <c r="C221" s="767"/>
      <c r="D221" s="37"/>
      <c r="E221" s="37"/>
    </row>
    <row r="222" spans="1:5">
      <c r="A222" s="35"/>
      <c r="B222" s="766"/>
      <c r="C222" s="767"/>
      <c r="D222" s="37"/>
      <c r="E222" s="37"/>
    </row>
    <row r="223" spans="1:5">
      <c r="A223" s="35"/>
      <c r="B223" s="766"/>
      <c r="C223" s="767"/>
      <c r="D223" s="37"/>
      <c r="E223" s="37"/>
    </row>
    <row r="224" spans="1:5" ht="12.75" customHeight="1">
      <c r="A224" s="35"/>
      <c r="B224" s="766"/>
      <c r="C224" s="767"/>
      <c r="D224" s="37"/>
      <c r="E224" s="37"/>
    </row>
    <row r="225" spans="1:9">
      <c r="A225" s="35"/>
      <c r="B225" s="770"/>
      <c r="C225" s="771"/>
      <c r="D225" s="37"/>
      <c r="E225" s="37"/>
    </row>
    <row r="226" spans="1:9">
      <c r="A226" s="35"/>
      <c r="B226" s="37"/>
      <c r="C226" s="37"/>
      <c r="D226" s="37"/>
      <c r="E226" s="37"/>
    </row>
    <row r="227" spans="1:9">
      <c r="A227" s="35"/>
      <c r="B227" s="37"/>
      <c r="C227" s="37"/>
      <c r="D227" s="37"/>
      <c r="E227" s="37"/>
    </row>
    <row r="228" spans="1:9">
      <c r="A228" s="35"/>
      <c r="B228" s="165" t="str">
        <f>B85</f>
        <v>NGGT (TO)</v>
      </c>
      <c r="C228" s="144"/>
      <c r="D228" s="37"/>
      <c r="E228" s="768" t="str">
        <f>B86</f>
        <v>NGGT (SO)</v>
      </c>
      <c r="F228" s="768"/>
      <c r="G228" s="768"/>
      <c r="H228" s="768"/>
      <c r="I228" s="769"/>
    </row>
    <row r="229" spans="1:9">
      <c r="A229" s="35"/>
      <c r="B229" s="781" t="s">
        <v>126</v>
      </c>
      <c r="C229" s="782"/>
      <c r="E229" s="790"/>
      <c r="F229" s="791"/>
      <c r="G229" s="791"/>
      <c r="H229" s="791"/>
      <c r="I229" s="792"/>
    </row>
    <row r="230" spans="1:9" ht="25.5" customHeight="1">
      <c r="A230" s="35"/>
      <c r="B230" s="766" t="s">
        <v>127</v>
      </c>
      <c r="C230" s="767"/>
      <c r="E230" s="790"/>
      <c r="F230" s="791"/>
      <c r="G230" s="791"/>
      <c r="H230" s="791"/>
      <c r="I230" s="792"/>
    </row>
    <row r="231" spans="1:9" ht="13.5" customHeight="1">
      <c r="A231" s="35"/>
      <c r="B231" s="766" t="s">
        <v>128</v>
      </c>
      <c r="C231" s="767"/>
      <c r="D231" s="37"/>
      <c r="E231" s="790"/>
      <c r="F231" s="791"/>
      <c r="G231" s="791"/>
      <c r="H231" s="791"/>
      <c r="I231" s="792"/>
    </row>
    <row r="232" spans="1:9" ht="13.5" customHeight="1">
      <c r="A232" s="35"/>
      <c r="B232" s="766"/>
      <c r="C232" s="767"/>
      <c r="D232" s="37"/>
      <c r="E232" s="772" t="s">
        <v>129</v>
      </c>
      <c r="F232" s="773"/>
      <c r="G232" s="773"/>
      <c r="H232" s="773"/>
      <c r="I232" s="774"/>
    </row>
    <row r="233" spans="1:9" ht="13.5" customHeight="1">
      <c r="A233" s="35"/>
      <c r="B233" s="166"/>
      <c r="C233" s="145"/>
      <c r="D233" s="37"/>
      <c r="E233" s="772" t="s">
        <v>130</v>
      </c>
      <c r="F233" s="773"/>
      <c r="G233" s="773"/>
      <c r="H233" s="773"/>
      <c r="I233" s="774"/>
    </row>
    <row r="234" spans="1:9" ht="13.5" customHeight="1">
      <c r="A234" s="35"/>
      <c r="B234" s="766"/>
      <c r="C234" s="767"/>
      <c r="D234" s="37"/>
      <c r="E234" s="772" t="s">
        <v>131</v>
      </c>
      <c r="F234" s="773"/>
      <c r="G234" s="773"/>
      <c r="H234" s="773"/>
      <c r="I234" s="774"/>
    </row>
    <row r="235" spans="1:9" ht="13.5" customHeight="1">
      <c r="A235" s="35"/>
      <c r="B235" s="766"/>
      <c r="C235" s="767"/>
      <c r="D235" s="37"/>
      <c r="E235" s="775" t="s">
        <v>132</v>
      </c>
      <c r="F235" s="776"/>
      <c r="G235" s="776"/>
      <c r="H235" s="776"/>
      <c r="I235" s="777"/>
    </row>
    <row r="236" spans="1:9" ht="12.75" customHeight="1">
      <c r="A236" s="35"/>
      <c r="B236" s="770"/>
      <c r="C236" s="771"/>
      <c r="D236" s="37"/>
      <c r="E236" s="778" t="s">
        <v>133</v>
      </c>
      <c r="F236" s="779"/>
      <c r="G236" s="779"/>
      <c r="H236" s="779"/>
      <c r="I236" s="780"/>
    </row>
    <row r="237" spans="1:9">
      <c r="A237" s="35"/>
      <c r="B237" s="37"/>
      <c r="C237" s="37"/>
      <c r="D237" s="37"/>
      <c r="E237" s="37"/>
    </row>
    <row r="238" spans="1:9" ht="12.75" customHeight="1">
      <c r="A238" s="35"/>
      <c r="B238" s="37"/>
      <c r="C238" s="37"/>
      <c r="D238" s="37"/>
      <c r="E238" s="37"/>
    </row>
    <row r="239" spans="1:9">
      <c r="A239" s="35"/>
      <c r="B239" s="768" t="s">
        <v>90</v>
      </c>
      <c r="C239" s="769"/>
      <c r="D239" s="732"/>
      <c r="E239" s="768" t="s">
        <v>91</v>
      </c>
      <c r="F239" s="768"/>
      <c r="G239" s="768"/>
      <c r="H239" s="768"/>
      <c r="I239" s="769"/>
    </row>
    <row r="240" spans="1:9" ht="12.75" customHeight="1">
      <c r="A240" s="35"/>
      <c r="B240" s="781" t="s">
        <v>126</v>
      </c>
      <c r="C240" s="782"/>
      <c r="D240" s="712"/>
      <c r="E240" s="781" t="s">
        <v>126</v>
      </c>
      <c r="F240" s="781"/>
      <c r="G240" s="781"/>
      <c r="H240" s="781"/>
      <c r="I240" s="782"/>
    </row>
    <row r="241" spans="1:9" ht="12.75" customHeight="1">
      <c r="A241" s="35"/>
      <c r="B241" s="766" t="s">
        <v>127</v>
      </c>
      <c r="C241" s="767"/>
      <c r="D241" s="712"/>
      <c r="E241" s="766" t="s">
        <v>134</v>
      </c>
      <c r="F241" s="766"/>
      <c r="G241" s="766"/>
      <c r="H241" s="766"/>
      <c r="I241" s="767"/>
    </row>
    <row r="242" spans="1:9" ht="12.75" customHeight="1">
      <c r="A242" s="35"/>
      <c r="B242" s="766" t="s">
        <v>128</v>
      </c>
      <c r="C242" s="767"/>
      <c r="D242" s="712"/>
      <c r="E242" s="766"/>
      <c r="F242" s="766"/>
      <c r="G242" s="766"/>
      <c r="H242" s="766"/>
      <c r="I242" s="767"/>
    </row>
    <row r="243" spans="1:9" ht="24" customHeight="1">
      <c r="A243" s="35"/>
      <c r="B243" s="766" t="s">
        <v>135</v>
      </c>
      <c r="C243" s="767"/>
      <c r="D243" s="712"/>
      <c r="E243" s="766"/>
      <c r="F243" s="766"/>
      <c r="G243" s="766"/>
      <c r="H243" s="766"/>
      <c r="I243" s="767"/>
    </row>
    <row r="244" spans="1:9">
      <c r="A244" s="35"/>
      <c r="B244" s="766" t="s">
        <v>130</v>
      </c>
      <c r="C244" s="767"/>
      <c r="D244" s="712"/>
      <c r="E244" s="766"/>
      <c r="F244" s="766"/>
      <c r="G244" s="766"/>
      <c r="H244" s="766"/>
      <c r="I244" s="767"/>
    </row>
    <row r="245" spans="1:9">
      <c r="A245" s="35"/>
      <c r="B245" s="766" t="s">
        <v>131</v>
      </c>
      <c r="C245" s="767"/>
      <c r="D245" s="712"/>
      <c r="E245" s="766"/>
      <c r="F245" s="766"/>
      <c r="G245" s="766"/>
      <c r="H245" s="766"/>
      <c r="I245" s="767"/>
    </row>
    <row r="246" spans="1:9" ht="12.75" customHeight="1">
      <c r="A246" s="35"/>
      <c r="B246" s="766" t="s">
        <v>136</v>
      </c>
      <c r="C246" s="767"/>
      <c r="D246" s="712"/>
      <c r="E246" s="766"/>
      <c r="F246" s="766"/>
      <c r="G246" s="766"/>
      <c r="H246" s="766"/>
      <c r="I246" s="767"/>
    </row>
    <row r="247" spans="1:9" ht="12.75" customHeight="1">
      <c r="A247" s="35"/>
      <c r="B247" s="770" t="s">
        <v>133</v>
      </c>
      <c r="C247" s="771"/>
      <c r="D247" s="732"/>
      <c r="E247" s="770"/>
      <c r="F247" s="770"/>
      <c r="G247" s="770"/>
      <c r="H247" s="770"/>
      <c r="I247" s="771"/>
    </row>
    <row r="248" spans="1:9" ht="12.75" customHeight="1">
      <c r="A248" s="35"/>
      <c r="B248" s="35"/>
      <c r="C248" s="35"/>
      <c r="D248" s="37"/>
      <c r="E248" s="81"/>
      <c r="F248" s="81"/>
      <c r="G248" s="81"/>
      <c r="H248" s="81"/>
      <c r="I248" s="81"/>
    </row>
    <row r="249" spans="1:9" ht="12.75" customHeight="1">
      <c r="A249" s="35"/>
      <c r="B249" s="35"/>
      <c r="C249" s="35"/>
      <c r="D249" s="37"/>
      <c r="E249" s="81"/>
      <c r="F249" s="81"/>
      <c r="G249" s="81"/>
      <c r="H249" s="81"/>
      <c r="I249" s="81"/>
    </row>
    <row r="250" spans="1:9" ht="12.75" customHeight="1">
      <c r="A250" s="35"/>
      <c r="B250" s="768" t="s">
        <v>29</v>
      </c>
      <c r="C250" s="769"/>
      <c r="D250" s="37"/>
      <c r="E250" s="768" t="s">
        <v>92</v>
      </c>
      <c r="F250" s="768"/>
      <c r="G250" s="768"/>
      <c r="H250" s="768"/>
      <c r="I250" s="769"/>
    </row>
    <row r="251" spans="1:9" ht="12.75" customHeight="1">
      <c r="A251" s="35"/>
      <c r="B251" s="781" t="s">
        <v>137</v>
      </c>
      <c r="C251" s="782"/>
      <c r="E251" s="781" t="s">
        <v>138</v>
      </c>
      <c r="F251" s="781"/>
      <c r="G251" s="781"/>
      <c r="H251" s="781"/>
      <c r="I251" s="782"/>
    </row>
    <row r="252" spans="1:9" ht="25.5" customHeight="1">
      <c r="A252" s="35"/>
      <c r="B252" s="766" t="s">
        <v>139</v>
      </c>
      <c r="C252" s="767"/>
      <c r="E252" s="766" t="s">
        <v>125</v>
      </c>
      <c r="F252" s="766"/>
      <c r="G252" s="766"/>
      <c r="H252" s="766"/>
      <c r="I252" s="767"/>
    </row>
    <row r="253" spans="1:9" ht="25.5" customHeight="1">
      <c r="A253" s="35"/>
      <c r="B253" s="766"/>
      <c r="C253" s="767"/>
      <c r="E253" s="766"/>
      <c r="F253" s="766"/>
      <c r="G253" s="766"/>
      <c r="H253" s="766"/>
      <c r="I253" s="767"/>
    </row>
    <row r="254" spans="1:9" ht="25.5" customHeight="1">
      <c r="A254" s="35"/>
      <c r="B254" s="766"/>
      <c r="C254" s="767"/>
      <c r="E254" s="766"/>
      <c r="F254" s="766"/>
      <c r="G254" s="766"/>
      <c r="H254" s="766"/>
      <c r="I254" s="767"/>
    </row>
    <row r="255" spans="1:9" ht="25.5" customHeight="1">
      <c r="A255" s="35"/>
      <c r="B255" s="766"/>
      <c r="C255" s="767"/>
      <c r="E255" s="766"/>
      <c r="F255" s="766"/>
      <c r="G255" s="766"/>
      <c r="H255" s="766"/>
      <c r="I255" s="767"/>
    </row>
    <row r="256" spans="1:9" ht="25.5" customHeight="1">
      <c r="A256" s="35"/>
      <c r="B256" s="766"/>
      <c r="C256" s="767"/>
      <c r="E256" s="766"/>
      <c r="F256" s="766"/>
      <c r="G256" s="766"/>
      <c r="H256" s="766"/>
      <c r="I256" s="767"/>
    </row>
    <row r="257" spans="1:9">
      <c r="A257" s="35"/>
      <c r="B257" s="766"/>
      <c r="C257" s="767"/>
      <c r="E257" s="766"/>
      <c r="F257" s="766"/>
      <c r="G257" s="766"/>
      <c r="H257" s="766"/>
      <c r="I257" s="767"/>
    </row>
    <row r="258" spans="1:9">
      <c r="A258" s="35"/>
      <c r="B258" s="770"/>
      <c r="C258" s="771"/>
      <c r="D258" s="37"/>
      <c r="E258" s="770"/>
      <c r="F258" s="770"/>
      <c r="G258" s="770"/>
      <c r="H258" s="770"/>
      <c r="I258" s="771"/>
    </row>
    <row r="259" spans="1:9">
      <c r="A259" s="35"/>
      <c r="D259" s="37"/>
      <c r="E259" s="37"/>
    </row>
    <row r="260" spans="1:9">
      <c r="A260" s="35"/>
      <c r="D260" s="37"/>
      <c r="E260" s="37"/>
    </row>
    <row r="261" spans="1:9">
      <c r="A261" s="35"/>
      <c r="B261" s="768" t="s">
        <v>54</v>
      </c>
      <c r="C261" s="769"/>
      <c r="D261" s="37"/>
      <c r="E261" s="37"/>
    </row>
    <row r="262" spans="1:9">
      <c r="A262" s="35"/>
      <c r="B262" s="766" t="s">
        <v>138</v>
      </c>
      <c r="C262" s="767"/>
      <c r="D262" s="793"/>
      <c r="E262" s="793"/>
    </row>
    <row r="263" spans="1:9">
      <c r="A263" s="35"/>
      <c r="B263" s="766" t="s">
        <v>125</v>
      </c>
      <c r="C263" s="767"/>
      <c r="D263" s="793"/>
      <c r="E263" s="793"/>
    </row>
    <row r="264" spans="1:9">
      <c r="A264" s="35"/>
      <c r="B264" s="766"/>
      <c r="C264" s="767"/>
      <c r="D264" s="37"/>
      <c r="E264" s="37"/>
    </row>
    <row r="265" spans="1:9">
      <c r="A265" s="35"/>
      <c r="B265" s="766"/>
      <c r="C265" s="767"/>
      <c r="D265" s="37"/>
      <c r="E265" s="37"/>
    </row>
    <row r="266" spans="1:9">
      <c r="A266" s="35"/>
      <c r="B266" s="766"/>
      <c r="C266" s="767"/>
      <c r="D266" s="37"/>
      <c r="E266" s="37"/>
    </row>
    <row r="267" spans="1:9">
      <c r="A267" s="35"/>
      <c r="B267" s="766"/>
      <c r="C267" s="767"/>
      <c r="D267" s="37"/>
      <c r="E267" s="37"/>
    </row>
    <row r="268" spans="1:9">
      <c r="A268" s="35"/>
      <c r="B268" s="766"/>
      <c r="C268" s="767"/>
      <c r="D268" s="37"/>
      <c r="E268" s="37"/>
    </row>
    <row r="269" spans="1:9">
      <c r="A269" s="35"/>
      <c r="B269" s="770"/>
      <c r="C269" s="771"/>
      <c r="D269" s="37"/>
      <c r="E269" s="37"/>
    </row>
    <row r="270" spans="1:9">
      <c r="A270" s="35"/>
      <c r="D270" s="37"/>
      <c r="E270" s="37"/>
    </row>
    <row r="271" spans="1:9">
      <c r="A271" s="35"/>
      <c r="D271" s="37"/>
      <c r="E271" s="37"/>
    </row>
    <row r="272" spans="1:9">
      <c r="A272" s="35"/>
      <c r="D272" s="37"/>
      <c r="E272" s="37"/>
    </row>
    <row r="273" spans="2:36">
      <c r="B273" s="58" t="s">
        <v>140</v>
      </c>
      <c r="C273" s="59"/>
      <c r="D273" s="59"/>
      <c r="E273" s="59"/>
      <c r="F273" s="57"/>
      <c r="G273" s="57"/>
      <c r="H273" s="57"/>
      <c r="I273" s="57"/>
      <c r="J273" s="57"/>
      <c r="K273" s="57"/>
      <c r="L273" s="57"/>
      <c r="M273" s="57"/>
      <c r="N273" s="57"/>
    </row>
    <row r="275" spans="2:36" ht="114.75">
      <c r="B275" s="251" t="s">
        <v>141</v>
      </c>
      <c r="C275" s="251" t="s">
        <v>142</v>
      </c>
      <c r="D275" s="251" t="s">
        <v>143</v>
      </c>
      <c r="E275" s="252" t="s">
        <v>144</v>
      </c>
      <c r="F275" s="252" t="s">
        <v>145</v>
      </c>
      <c r="G275" s="252" t="s">
        <v>146</v>
      </c>
      <c r="H275" s="252" t="s">
        <v>147</v>
      </c>
      <c r="I275" s="251" t="s">
        <v>148</v>
      </c>
      <c r="J275" s="251" t="s">
        <v>149</v>
      </c>
      <c r="K275" s="253" t="s">
        <v>150</v>
      </c>
      <c r="L275" s="253" t="s">
        <v>151</v>
      </c>
      <c r="M275" s="253" t="s">
        <v>152</v>
      </c>
      <c r="N275" s="253" t="s">
        <v>153</v>
      </c>
      <c r="O275" s="253" t="s">
        <v>154</v>
      </c>
      <c r="P275" s="253" t="s">
        <v>155</v>
      </c>
      <c r="Q275" s="253" t="s">
        <v>156</v>
      </c>
      <c r="R275" s="253" t="s">
        <v>157</v>
      </c>
      <c r="S275" s="253" t="s">
        <v>158</v>
      </c>
      <c r="T275" s="251" t="s">
        <v>159</v>
      </c>
      <c r="U275" s="251" t="s">
        <v>160</v>
      </c>
      <c r="V275" s="251" t="s">
        <v>161</v>
      </c>
      <c r="W275" s="251" t="s">
        <v>162</v>
      </c>
      <c r="X275" s="254" t="s">
        <v>163</v>
      </c>
      <c r="Y275" s="251" t="s">
        <v>164</v>
      </c>
      <c r="Z275" s="251" t="s">
        <v>165</v>
      </c>
      <c r="AA275" s="251" t="s">
        <v>166</v>
      </c>
      <c r="AB275" s="251" t="s">
        <v>167</v>
      </c>
      <c r="AC275" s="251" t="s">
        <v>168</v>
      </c>
      <c r="AD275" s="251" t="s">
        <v>169</v>
      </c>
      <c r="AE275" s="251" t="s">
        <v>170</v>
      </c>
      <c r="AF275" s="251" t="s">
        <v>171</v>
      </c>
      <c r="AG275" s="251" t="s">
        <v>172</v>
      </c>
      <c r="AH275" s="251" t="s">
        <v>173</v>
      </c>
      <c r="AI275" s="251" t="s">
        <v>174</v>
      </c>
      <c r="AJ275" s="255" t="s">
        <v>175</v>
      </c>
    </row>
    <row r="276" spans="2:36">
      <c r="B276" s="246" t="s">
        <v>19</v>
      </c>
      <c r="C276" t="s">
        <v>84</v>
      </c>
      <c r="D276" t="s">
        <v>176</v>
      </c>
      <c r="E276" t="s">
        <v>177</v>
      </c>
      <c r="F276" t="s">
        <v>178</v>
      </c>
      <c r="G276" t="s">
        <v>179</v>
      </c>
      <c r="H276" t="s">
        <v>180</v>
      </c>
      <c r="O276" t="s">
        <v>181</v>
      </c>
      <c r="Y276" t="s">
        <v>182</v>
      </c>
      <c r="Z276" t="s">
        <v>183</v>
      </c>
      <c r="AA276">
        <v>1</v>
      </c>
      <c r="AI276" t="s">
        <v>184</v>
      </c>
      <c r="AJ276" s="122" t="s">
        <v>184</v>
      </c>
    </row>
    <row r="277" spans="2:36">
      <c r="B277" s="246" t="s">
        <v>22</v>
      </c>
      <c r="C277" t="s">
        <v>185</v>
      </c>
      <c r="D277" t="s">
        <v>186</v>
      </c>
      <c r="E277" t="s">
        <v>187</v>
      </c>
      <c r="F277" t="s">
        <v>188</v>
      </c>
      <c r="G277" t="s">
        <v>189</v>
      </c>
      <c r="H277" t="s">
        <v>190</v>
      </c>
      <c r="O277" t="s">
        <v>191</v>
      </c>
      <c r="Y277" t="s">
        <v>192</v>
      </c>
      <c r="Z277" t="s">
        <v>193</v>
      </c>
      <c r="AA277">
        <v>2</v>
      </c>
      <c r="AI277" t="s">
        <v>194</v>
      </c>
      <c r="AJ277" s="122" t="s">
        <v>194</v>
      </c>
    </row>
    <row r="278" spans="2:36">
      <c r="B278" s="246" t="s">
        <v>25</v>
      </c>
      <c r="C278" t="s">
        <v>195</v>
      </c>
      <c r="D278" t="s">
        <v>196</v>
      </c>
      <c r="E278" t="s">
        <v>197</v>
      </c>
      <c r="F278" t="s">
        <v>198</v>
      </c>
      <c r="G278" t="s">
        <v>199</v>
      </c>
      <c r="O278" t="s">
        <v>200</v>
      </c>
      <c r="Y278" t="s">
        <v>201</v>
      </c>
      <c r="Z278" t="s">
        <v>202</v>
      </c>
      <c r="AA278">
        <v>3</v>
      </c>
      <c r="AI278" t="s">
        <v>203</v>
      </c>
      <c r="AJ278" s="122" t="s">
        <v>203</v>
      </c>
    </row>
    <row r="279" spans="2:36">
      <c r="B279" s="246" t="s">
        <v>27</v>
      </c>
      <c r="C279" t="s">
        <v>204</v>
      </c>
      <c r="D279" t="s">
        <v>205</v>
      </c>
      <c r="E279" t="s">
        <v>206</v>
      </c>
      <c r="G279" t="s">
        <v>207</v>
      </c>
      <c r="O279" t="s">
        <v>208</v>
      </c>
      <c r="Y279" t="s">
        <v>209</v>
      </c>
      <c r="Z279" t="s">
        <v>203</v>
      </c>
      <c r="AA279">
        <v>4</v>
      </c>
      <c r="AJ279" s="122"/>
    </row>
    <row r="280" spans="2:36">
      <c r="B280" s="246" t="s">
        <v>29</v>
      </c>
      <c r="C280" t="s">
        <v>87</v>
      </c>
      <c r="D280" t="s">
        <v>210</v>
      </c>
      <c r="E280" t="s">
        <v>211</v>
      </c>
      <c r="G280" t="s">
        <v>212</v>
      </c>
      <c r="O280" t="s">
        <v>213</v>
      </c>
      <c r="Y280" t="s">
        <v>214</v>
      </c>
      <c r="AA280">
        <v>5</v>
      </c>
      <c r="AJ280" s="122"/>
    </row>
    <row r="281" spans="2:36">
      <c r="B281" s="246"/>
      <c r="C281" t="s">
        <v>54</v>
      </c>
      <c r="D281" t="s">
        <v>215</v>
      </c>
      <c r="E281" t="s">
        <v>216</v>
      </c>
      <c r="O281" t="s">
        <v>217</v>
      </c>
      <c r="Y281" s="250" t="s">
        <v>218</v>
      </c>
      <c r="AA281">
        <v>6</v>
      </c>
      <c r="AJ281" s="122"/>
    </row>
    <row r="282" spans="2:36">
      <c r="B282" s="246"/>
      <c r="C282" t="s">
        <v>92</v>
      </c>
      <c r="D282" t="s">
        <v>219</v>
      </c>
      <c r="O282" t="s">
        <v>220</v>
      </c>
      <c r="Y282" t="s">
        <v>203</v>
      </c>
      <c r="AA282">
        <v>7</v>
      </c>
      <c r="AJ282" s="122"/>
    </row>
    <row r="283" spans="2:36">
      <c r="B283" s="246"/>
      <c r="C283" t="s">
        <v>221</v>
      </c>
      <c r="D283" t="s">
        <v>222</v>
      </c>
      <c r="O283" t="s">
        <v>223</v>
      </c>
      <c r="AA283">
        <v>8</v>
      </c>
      <c r="AJ283" s="122"/>
    </row>
    <row r="284" spans="2:36">
      <c r="B284" s="246"/>
      <c r="C284" t="s">
        <v>224</v>
      </c>
      <c r="D284" t="s">
        <v>225</v>
      </c>
      <c r="AA284">
        <v>9</v>
      </c>
      <c r="AJ284" s="122"/>
    </row>
    <row r="285" spans="2:36">
      <c r="B285" s="246"/>
      <c r="C285" t="s">
        <v>29</v>
      </c>
      <c r="D285" t="s">
        <v>226</v>
      </c>
      <c r="AA285">
        <v>10</v>
      </c>
      <c r="AJ285" s="122"/>
    </row>
    <row r="286" spans="2:36">
      <c r="B286" s="246"/>
      <c r="C286" t="s">
        <v>70</v>
      </c>
      <c r="D286" t="s">
        <v>216</v>
      </c>
      <c r="AA286">
        <v>11</v>
      </c>
      <c r="AJ286" s="122"/>
    </row>
    <row r="287" spans="2:36">
      <c r="B287" s="246"/>
      <c r="C287" t="s">
        <v>71</v>
      </c>
      <c r="AA287">
        <v>12</v>
      </c>
      <c r="AJ287" s="122"/>
    </row>
    <row r="288" spans="2:36">
      <c r="B288" s="246"/>
      <c r="C288" t="s">
        <v>72</v>
      </c>
      <c r="AA288" t="s">
        <v>203</v>
      </c>
      <c r="AJ288" s="122"/>
    </row>
    <row r="289" spans="2:36">
      <c r="B289" s="246"/>
      <c r="C289" t="s">
        <v>75</v>
      </c>
      <c r="AJ289" s="122"/>
    </row>
    <row r="290" spans="2:36">
      <c r="B290" s="246"/>
      <c r="C290" t="s">
        <v>4</v>
      </c>
      <c r="AJ290" s="122"/>
    </row>
    <row r="291" spans="2:36">
      <c r="B291" s="246"/>
      <c r="C291" t="s">
        <v>76</v>
      </c>
      <c r="AJ291" s="122"/>
    </row>
    <row r="292" spans="2:36">
      <c r="B292" s="246"/>
      <c r="C292" t="s">
        <v>50</v>
      </c>
      <c r="AJ292" s="122"/>
    </row>
    <row r="293" spans="2:36">
      <c r="B293" s="246"/>
      <c r="C293" t="s">
        <v>227</v>
      </c>
      <c r="AJ293" s="122"/>
    </row>
    <row r="294" spans="2:36">
      <c r="B294" s="246"/>
      <c r="C294" t="s">
        <v>228</v>
      </c>
      <c r="AJ294" s="122"/>
    </row>
    <row r="295" spans="2:36">
      <c r="B295" s="246"/>
      <c r="C295" t="s">
        <v>229</v>
      </c>
      <c r="AJ295" s="122"/>
    </row>
    <row r="296" spans="2:36">
      <c r="B296" s="246"/>
      <c r="C296" t="s">
        <v>230</v>
      </c>
      <c r="AJ296" s="122"/>
    </row>
    <row r="297" spans="2:36">
      <c r="B297" s="246"/>
      <c r="C297" t="s">
        <v>231</v>
      </c>
      <c r="AJ297" s="122"/>
    </row>
    <row r="298" spans="2:36">
      <c r="B298" s="246"/>
      <c r="C298" t="s">
        <v>232</v>
      </c>
      <c r="AJ298" s="122"/>
    </row>
    <row r="299" spans="2:36">
      <c r="B299" s="246"/>
      <c r="C299" t="s">
        <v>233</v>
      </c>
      <c r="AJ299" s="122"/>
    </row>
    <row r="300" spans="2:36">
      <c r="B300" s="246"/>
      <c r="C300" t="s">
        <v>234</v>
      </c>
      <c r="AJ300" s="122"/>
    </row>
    <row r="301" spans="2:36">
      <c r="B301" s="246"/>
      <c r="AJ301" s="122"/>
    </row>
    <row r="302" spans="2:36">
      <c r="B302" s="246"/>
      <c r="AJ302" s="122"/>
    </row>
    <row r="303" spans="2:36">
      <c r="B303" s="246"/>
      <c r="AJ303" s="122"/>
    </row>
    <row r="304" spans="2:36">
      <c r="B304" s="246"/>
      <c r="AJ304" s="122"/>
    </row>
    <row r="305" spans="1:36">
      <c r="B305" s="246"/>
      <c r="AJ305" s="122"/>
    </row>
    <row r="306" spans="1:36">
      <c r="B306" s="247"/>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c r="AA306" s="150"/>
      <c r="AB306" s="150"/>
      <c r="AC306" s="150"/>
      <c r="AD306" s="150"/>
      <c r="AE306" s="150"/>
      <c r="AF306" s="150"/>
      <c r="AG306" s="150"/>
      <c r="AH306" s="150"/>
      <c r="AI306" s="150"/>
      <c r="AJ306" s="248"/>
    </row>
    <row r="307" spans="1:36">
      <c r="B307" s="249" t="s">
        <v>235</v>
      </c>
      <c r="C307" s="249"/>
      <c r="D307" s="249"/>
      <c r="E307" s="249"/>
      <c r="F307" s="249"/>
      <c r="G307" s="249"/>
      <c r="H307" s="249"/>
      <c r="I307" s="249"/>
      <c r="J307" s="249"/>
      <c r="K307" s="249"/>
      <c r="L307" s="249"/>
      <c r="M307" s="249"/>
      <c r="N307" s="249"/>
      <c r="O307" s="249"/>
      <c r="P307" s="249"/>
      <c r="Q307" s="249"/>
      <c r="R307" s="249"/>
      <c r="S307" s="249"/>
      <c r="T307" s="249"/>
      <c r="U307" s="249"/>
      <c r="V307" s="249"/>
      <c r="W307" s="249"/>
      <c r="X307" s="249"/>
      <c r="Y307" s="249"/>
      <c r="Z307" s="249"/>
      <c r="AA307" s="249"/>
      <c r="AB307" s="249"/>
      <c r="AC307" s="249"/>
      <c r="AD307" s="249"/>
      <c r="AE307" s="249"/>
      <c r="AF307" s="249"/>
      <c r="AG307" s="249"/>
      <c r="AH307" s="249"/>
      <c r="AI307" s="249"/>
      <c r="AJ307" s="249"/>
    </row>
    <row r="310" spans="1:36">
      <c r="A310" s="35"/>
      <c r="B310" s="58" t="s">
        <v>236</v>
      </c>
      <c r="C310" s="59"/>
      <c r="D310" s="59"/>
      <c r="E310" s="59"/>
      <c r="F310" s="57"/>
      <c r="G310" s="57"/>
      <c r="H310" s="57"/>
      <c r="I310" s="57"/>
      <c r="J310" s="57"/>
      <c r="K310" s="57"/>
      <c r="L310" s="57"/>
      <c r="M310" s="57"/>
      <c r="N310" s="57"/>
      <c r="O310" s="57"/>
      <c r="P310" s="57"/>
      <c r="Q310" s="57"/>
      <c r="R310" s="57"/>
      <c r="S310" s="57"/>
    </row>
    <row r="311" spans="1:36">
      <c r="B311" s="82"/>
      <c r="C311" s="83"/>
      <c r="D311" s="83"/>
      <c r="E311" s="83"/>
      <c r="F311" s="84"/>
      <c r="G311" s="84"/>
      <c r="H311" s="84"/>
      <c r="I311" s="84"/>
      <c r="J311" s="84"/>
      <c r="K311" s="84"/>
      <c r="L311" s="274"/>
      <c r="M311" s="84"/>
      <c r="N311" s="84"/>
    </row>
    <row r="312" spans="1:36">
      <c r="A312" s="80" t="s">
        <v>237</v>
      </c>
      <c r="B312" s="80" t="s">
        <v>238</v>
      </c>
      <c r="C312" s="37"/>
      <c r="D312" s="37"/>
      <c r="E312" s="37"/>
      <c r="K312" s="80" t="s">
        <v>239</v>
      </c>
      <c r="L312" s="80" t="s">
        <v>240</v>
      </c>
      <c r="M312" s="84"/>
      <c r="N312" s="84"/>
    </row>
    <row r="313" spans="1:36">
      <c r="B313" s="275"/>
      <c r="C313" s="83"/>
      <c r="D313" s="83"/>
      <c r="E313" s="83"/>
      <c r="F313" s="84"/>
      <c r="G313" s="84"/>
      <c r="H313" s="84"/>
      <c r="I313" s="84"/>
      <c r="J313" s="84"/>
      <c r="K313" s="84"/>
      <c r="L313" s="275"/>
      <c r="M313" s="84"/>
      <c r="N313" s="84"/>
    </row>
    <row r="314" spans="1:36">
      <c r="A314" s="48" t="s">
        <v>6</v>
      </c>
      <c r="B314" s="268" t="s">
        <v>3</v>
      </c>
      <c r="C314" s="137">
        <v>2022</v>
      </c>
      <c r="D314" s="138">
        <f>C314+1</f>
        <v>2023</v>
      </c>
      <c r="E314" s="138">
        <f>D314+1</f>
        <v>2024</v>
      </c>
      <c r="F314" s="138">
        <f t="shared" ref="F314" si="26">E314+1</f>
        <v>2025</v>
      </c>
      <c r="G314" s="138">
        <f t="shared" ref="G314" si="27">F314+1</f>
        <v>2026</v>
      </c>
      <c r="H314" s="138">
        <f t="shared" ref="H314" si="28">G314+1</f>
        <v>2027</v>
      </c>
      <c r="I314" s="138">
        <f t="shared" ref="I314" si="29">H314+1</f>
        <v>2028</v>
      </c>
      <c r="K314" s="48" t="s">
        <v>6</v>
      </c>
      <c r="L314" s="268" t="s">
        <v>3</v>
      </c>
      <c r="M314" s="137">
        <v>2022</v>
      </c>
      <c r="N314" s="138">
        <f t="shared" ref="N314" si="30">M314+1</f>
        <v>2023</v>
      </c>
      <c r="O314" s="138">
        <f t="shared" ref="O314" si="31">N314+1</f>
        <v>2024</v>
      </c>
      <c r="P314" s="138">
        <f t="shared" ref="P314" si="32">O314+1</f>
        <v>2025</v>
      </c>
      <c r="Q314" s="138">
        <f t="shared" ref="Q314" si="33">P314+1</f>
        <v>2026</v>
      </c>
      <c r="R314" s="138">
        <f t="shared" ref="R314" si="34">Q314+1</f>
        <v>2027</v>
      </c>
      <c r="S314" s="138">
        <f t="shared" ref="S314" si="35">R314+1</f>
        <v>2028</v>
      </c>
    </row>
    <row r="315" spans="1:36">
      <c r="A315" s="12" t="s">
        <v>19</v>
      </c>
      <c r="B315" s="267" t="s">
        <v>70</v>
      </c>
      <c r="C315" s="270"/>
      <c r="D315" s="270"/>
      <c r="E315" s="272">
        <v>1.4366690915062783</v>
      </c>
      <c r="F315" s="272">
        <v>1.3797759532786635</v>
      </c>
      <c r="G315" s="272">
        <v>1.2994160329983981</v>
      </c>
      <c r="H315" s="272">
        <v>1.2615281568238033</v>
      </c>
      <c r="I315" s="272">
        <v>1.2611798067947679</v>
      </c>
      <c r="J315" t="b">
        <f>B315=L315</f>
        <v>1</v>
      </c>
      <c r="K315" s="12" t="s">
        <v>19</v>
      </c>
      <c r="L315" s="267" t="s">
        <v>70</v>
      </c>
      <c r="M315" s="270"/>
      <c r="N315" s="270"/>
      <c r="O315" s="407">
        <f t="shared" ref="O315:O328" si="36">((E315*H$34)/H$13)*(1-H$13)</f>
        <v>5.5194930254556516</v>
      </c>
      <c r="P315" s="407">
        <f t="shared" ref="P315:P328" si="37">((F315*I$34)/I$13)*(1-I$13)</f>
        <v>5.4500160237091571</v>
      </c>
      <c r="Q315" s="407">
        <f t="shared" ref="Q315:Q328" si="38">((G315*J$34)/J$13)*(1-J$13)</f>
        <v>5.2127548255056642</v>
      </c>
      <c r="R315" s="407">
        <f t="shared" ref="R315:R328" si="39">((H315*K$34)/K$13)*(1-K$13)</f>
        <v>5.1475554690936534</v>
      </c>
      <c r="S315" s="407">
        <f t="shared" ref="S315:S328" si="40">((I315*L$34)/L$13)*(1-L$13)</f>
        <v>5.2458722776245468</v>
      </c>
    </row>
    <row r="316" spans="1:36">
      <c r="A316" s="12" t="s">
        <v>19</v>
      </c>
      <c r="B316" s="267" t="s">
        <v>71</v>
      </c>
      <c r="C316" s="270"/>
      <c r="D316" s="270"/>
      <c r="E316" s="272">
        <v>1.368578491828039</v>
      </c>
      <c r="F316" s="272">
        <v>1.4008338175049104</v>
      </c>
      <c r="G316" s="272">
        <v>1.2944169556388054</v>
      </c>
      <c r="H316" s="272">
        <v>1.1615288221705597</v>
      </c>
      <c r="I316" s="272">
        <v>1.0171476978779488</v>
      </c>
      <c r="J316" t="b">
        <f t="shared" ref="J316:J343" si="41">B316=L316</f>
        <v>1</v>
      </c>
      <c r="K316" s="12" t="s">
        <v>19</v>
      </c>
      <c r="L316" s="267" t="s">
        <v>71</v>
      </c>
      <c r="M316" s="270"/>
      <c r="N316" s="270"/>
      <c r="O316" s="407">
        <f t="shared" si="36"/>
        <v>5.2578979286828105</v>
      </c>
      <c r="P316" s="407">
        <f t="shared" si="37"/>
        <v>5.5331930766107016</v>
      </c>
      <c r="Q316" s="407">
        <f t="shared" si="38"/>
        <v>5.1927004595693278</v>
      </c>
      <c r="R316" s="407">
        <f t="shared" si="39"/>
        <v>4.7395169174246679</v>
      </c>
      <c r="S316" s="407">
        <f t="shared" si="40"/>
        <v>4.2308217129707497</v>
      </c>
    </row>
    <row r="317" spans="1:36">
      <c r="A317" s="12" t="s">
        <v>19</v>
      </c>
      <c r="B317" s="267" t="s">
        <v>72</v>
      </c>
      <c r="C317" s="270"/>
      <c r="D317" s="270"/>
      <c r="E317" s="272">
        <v>1.8517886877112844</v>
      </c>
      <c r="F317" s="272">
        <v>1.8549995484009258</v>
      </c>
      <c r="G317" s="272">
        <v>1.5955311955633462</v>
      </c>
      <c r="H317" s="272">
        <v>1.4243694121247401</v>
      </c>
      <c r="I317" s="272">
        <v>1.2090605175362352</v>
      </c>
      <c r="J317" t="b">
        <f t="shared" si="41"/>
        <v>1</v>
      </c>
      <c r="K317" s="12" t="s">
        <v>19</v>
      </c>
      <c r="L317" s="267" t="s">
        <v>72</v>
      </c>
      <c r="M317" s="270"/>
      <c r="N317" s="270"/>
      <c r="O317" s="407">
        <f t="shared" si="36"/>
        <v>7.1143277229719963</v>
      </c>
      <c r="P317" s="407">
        <f t="shared" si="37"/>
        <v>7.3271151296231469</v>
      </c>
      <c r="Q317" s="407">
        <f t="shared" si="38"/>
        <v>6.4006543922087413</v>
      </c>
      <c r="R317" s="407">
        <f t="shared" si="39"/>
        <v>5.8120149897030604</v>
      </c>
      <c r="S317" s="407">
        <f t="shared" si="40"/>
        <v>5.0290823059029934</v>
      </c>
    </row>
    <row r="318" spans="1:36">
      <c r="A318" s="12" t="s">
        <v>19</v>
      </c>
      <c r="B318" s="267" t="s">
        <v>52</v>
      </c>
      <c r="C318" s="270"/>
      <c r="D318" s="270"/>
      <c r="E318" s="272">
        <v>1.9633660656588319</v>
      </c>
      <c r="F318" s="272">
        <v>2.1083575561921606</v>
      </c>
      <c r="G318" s="272">
        <v>2.5083164621053555</v>
      </c>
      <c r="H318" s="272">
        <v>2.4606563837546958</v>
      </c>
      <c r="I318" s="272">
        <v>2.3736687667861531</v>
      </c>
      <c r="J318" t="b">
        <f t="shared" si="41"/>
        <v>1</v>
      </c>
      <c r="K318" s="12" t="s">
        <v>19</v>
      </c>
      <c r="L318" s="267" t="s">
        <v>52</v>
      </c>
      <c r="M318" s="270"/>
      <c r="N318" s="270"/>
      <c r="O318" s="407">
        <f t="shared" si="36"/>
        <v>7.542993282091409</v>
      </c>
      <c r="P318" s="407">
        <f t="shared" si="37"/>
        <v>8.3278610832804425</v>
      </c>
      <c r="Q318" s="407">
        <f t="shared" si="38"/>
        <v>10.062396037675416</v>
      </c>
      <c r="R318" s="407">
        <f t="shared" si="39"/>
        <v>10.040493473920771</v>
      </c>
      <c r="S318" s="407">
        <f t="shared" si="40"/>
        <v>9.8732655826395064</v>
      </c>
    </row>
    <row r="319" spans="1:36">
      <c r="A319" s="12" t="s">
        <v>19</v>
      </c>
      <c r="B319" s="267" t="s">
        <v>73</v>
      </c>
      <c r="C319" s="270"/>
      <c r="D319" s="270"/>
      <c r="E319" s="272">
        <v>1.3074390315981681</v>
      </c>
      <c r="F319" s="272">
        <v>1.3001216768501926</v>
      </c>
      <c r="G319" s="272">
        <v>1.5417405565806881</v>
      </c>
      <c r="H319" s="272">
        <v>1.5753974334268079</v>
      </c>
      <c r="I319" s="272">
        <v>1.5749617313468214</v>
      </c>
      <c r="J319" t="b">
        <f t="shared" si="41"/>
        <v>1</v>
      </c>
      <c r="K319" s="12" t="s">
        <v>19</v>
      </c>
      <c r="L319" s="267" t="s">
        <v>73</v>
      </c>
      <c r="M319" s="270"/>
      <c r="N319" s="270"/>
      <c r="O319" s="407">
        <f t="shared" si="36"/>
        <v>5.0230081921986169</v>
      </c>
      <c r="P319" s="407">
        <f t="shared" si="37"/>
        <v>5.1353873465963531</v>
      </c>
      <c r="Q319" s="407">
        <f t="shared" si="38"/>
        <v>6.1848671417798942</v>
      </c>
      <c r="R319" s="407">
        <f t="shared" si="39"/>
        <v>6.4282716406819844</v>
      </c>
      <c r="S319" s="407">
        <f t="shared" si="40"/>
        <v>6.5510469167671452</v>
      </c>
    </row>
    <row r="320" spans="1:36">
      <c r="A320" s="12" t="s">
        <v>19</v>
      </c>
      <c r="B320" s="267" t="s">
        <v>74</v>
      </c>
      <c r="C320" s="270"/>
      <c r="D320" s="270"/>
      <c r="E320" s="272">
        <v>2.0191738224902593</v>
      </c>
      <c r="F320" s="272">
        <v>1.5784133044437496</v>
      </c>
      <c r="G320" s="272">
        <v>1.7691618048462701</v>
      </c>
      <c r="H320" s="272">
        <v>1.741401016001106</v>
      </c>
      <c r="I320" s="272">
        <v>1.6345343485877493</v>
      </c>
      <c r="J320" t="b">
        <f t="shared" si="41"/>
        <v>1</v>
      </c>
      <c r="K320" s="12" t="s">
        <v>19</v>
      </c>
      <c r="L320" s="267" t="s">
        <v>74</v>
      </c>
      <c r="M320" s="270"/>
      <c r="N320" s="270"/>
      <c r="O320" s="407">
        <f t="shared" si="36"/>
        <v>7.757399317843479</v>
      </c>
      <c r="P320" s="407">
        <f t="shared" si="37"/>
        <v>6.2346193096154039</v>
      </c>
      <c r="Q320" s="407">
        <f t="shared" si="38"/>
        <v>7.0971932784548564</v>
      </c>
      <c r="R320" s="407">
        <f t="shared" si="39"/>
        <v>7.1056347615503341</v>
      </c>
      <c r="S320" s="407">
        <f t="shared" si="40"/>
        <v>6.7988389759216235</v>
      </c>
    </row>
    <row r="321" spans="1:19">
      <c r="A321" s="12" t="s">
        <v>19</v>
      </c>
      <c r="B321" s="267" t="s">
        <v>75</v>
      </c>
      <c r="C321" s="270"/>
      <c r="D321" s="270"/>
      <c r="E321" s="272">
        <v>1.5418188657920666</v>
      </c>
      <c r="F321" s="272">
        <v>1.5421689490890813</v>
      </c>
      <c r="G321" s="272">
        <v>1.1986919632990878</v>
      </c>
      <c r="H321" s="272">
        <v>1.2051150219812068</v>
      </c>
      <c r="I321" s="272">
        <v>1.2030871425295599</v>
      </c>
      <c r="J321" t="b">
        <f t="shared" si="41"/>
        <v>1</v>
      </c>
      <c r="K321" s="12" t="s">
        <v>19</v>
      </c>
      <c r="L321" s="267" t="s">
        <v>75</v>
      </c>
      <c r="M321" s="270"/>
      <c r="N321" s="270"/>
      <c r="O321" s="407">
        <f t="shared" si="36"/>
        <v>5.9234645796777521</v>
      </c>
      <c r="P321" s="407">
        <f t="shared" si="37"/>
        <v>6.0914567063082732</v>
      </c>
      <c r="Q321" s="407">
        <f t="shared" si="38"/>
        <v>4.8086887935065841</v>
      </c>
      <c r="R321" s="407">
        <f t="shared" si="39"/>
        <v>4.9173665991766704</v>
      </c>
      <c r="S321" s="407">
        <f t="shared" si="40"/>
        <v>5.0042360768541707</v>
      </c>
    </row>
    <row r="322" spans="1:19">
      <c r="A322" s="12" t="s">
        <v>19</v>
      </c>
      <c r="B322" s="267" t="s">
        <v>4</v>
      </c>
      <c r="C322" s="270"/>
      <c r="D322" s="270"/>
      <c r="E322" s="272">
        <v>1.3630193716187557</v>
      </c>
      <c r="F322" s="272">
        <v>1.3768904698776971</v>
      </c>
      <c r="G322" s="272">
        <v>1.3602523162213354</v>
      </c>
      <c r="H322" s="272">
        <v>1.3398436564847218</v>
      </c>
      <c r="I322" s="272">
        <v>1.3157905788825448</v>
      </c>
      <c r="J322" t="b">
        <f t="shared" si="41"/>
        <v>1</v>
      </c>
      <c r="K322" s="12" t="s">
        <v>19</v>
      </c>
      <c r="L322" s="267" t="s">
        <v>4</v>
      </c>
      <c r="M322" s="270"/>
      <c r="N322" s="270"/>
      <c r="O322" s="407">
        <f t="shared" si="36"/>
        <v>5.2365405225798929</v>
      </c>
      <c r="P322" s="407">
        <f t="shared" si="37"/>
        <v>5.4386185712937527</v>
      </c>
      <c r="Q322" s="407">
        <f t="shared" si="38"/>
        <v>5.4568064770805886</v>
      </c>
      <c r="R322" s="407">
        <f t="shared" si="39"/>
        <v>5.4671150258215402</v>
      </c>
      <c r="S322" s="407">
        <f t="shared" si="40"/>
        <v>5.4730255620424284</v>
      </c>
    </row>
    <row r="323" spans="1:19">
      <c r="A323" s="12" t="s">
        <v>19</v>
      </c>
      <c r="B323" s="267" t="s">
        <v>76</v>
      </c>
      <c r="C323" s="270"/>
      <c r="D323" s="270"/>
      <c r="E323" s="272">
        <v>0.88691188538891907</v>
      </c>
      <c r="F323" s="272">
        <v>0.97956684032180519</v>
      </c>
      <c r="G323" s="272">
        <v>0.7570821246417444</v>
      </c>
      <c r="H323" s="272">
        <v>0.71183271144208338</v>
      </c>
      <c r="I323" s="272">
        <v>0.66972194319581801</v>
      </c>
      <c r="J323" t="b">
        <f t="shared" si="41"/>
        <v>1</v>
      </c>
      <c r="K323" s="12" t="s">
        <v>19</v>
      </c>
      <c r="L323" s="267" t="s">
        <v>76</v>
      </c>
      <c r="M323" s="270"/>
      <c r="N323" s="270"/>
      <c r="O323" s="407">
        <f t="shared" si="36"/>
        <v>3.4073984013015624</v>
      </c>
      <c r="P323" s="407">
        <f t="shared" si="37"/>
        <v>3.8692187404499414</v>
      </c>
      <c r="Q323" s="407">
        <f t="shared" si="38"/>
        <v>3.0371208283645976</v>
      </c>
      <c r="R323" s="407">
        <f t="shared" si="39"/>
        <v>2.9045712115446953</v>
      </c>
      <c r="S323" s="407">
        <f t="shared" si="40"/>
        <v>2.785705699218747</v>
      </c>
    </row>
    <row r="324" spans="1:19">
      <c r="A324" s="12" t="s">
        <v>19</v>
      </c>
      <c r="B324" s="267" t="s">
        <v>50</v>
      </c>
      <c r="C324" s="270"/>
      <c r="D324" s="270"/>
      <c r="E324" s="272">
        <v>2.5538076548384012</v>
      </c>
      <c r="F324" s="272">
        <v>2.7027627943750261</v>
      </c>
      <c r="G324" s="272">
        <v>2.4755882180772915</v>
      </c>
      <c r="H324" s="272">
        <v>2.1518380701030111</v>
      </c>
      <c r="I324" s="272">
        <v>1.7678169461084547</v>
      </c>
      <c r="J324" t="b">
        <f t="shared" si="41"/>
        <v>1</v>
      </c>
      <c r="K324" s="12" t="s">
        <v>19</v>
      </c>
      <c r="L324" s="267" t="s">
        <v>50</v>
      </c>
      <c r="M324" s="270"/>
      <c r="N324" s="270"/>
      <c r="O324" s="407">
        <f t="shared" si="36"/>
        <v>9.8113919360909492</v>
      </c>
      <c r="P324" s="407">
        <f t="shared" si="37"/>
        <v>10.675719128621383</v>
      </c>
      <c r="Q324" s="407">
        <f t="shared" si="38"/>
        <v>9.9311029739797583</v>
      </c>
      <c r="R324" s="407">
        <f t="shared" si="39"/>
        <v>8.7803873155323977</v>
      </c>
      <c r="S324" s="407">
        <f t="shared" si="40"/>
        <v>7.3532273982993992</v>
      </c>
    </row>
    <row r="325" spans="1:19">
      <c r="A325" s="12" t="s">
        <v>19</v>
      </c>
      <c r="B325" s="714" t="s">
        <v>51</v>
      </c>
      <c r="C325" s="270"/>
      <c r="D325" s="270"/>
      <c r="E325" s="272">
        <v>2.1594507853983487</v>
      </c>
      <c r="F325" s="272">
        <v>2.108783385973247</v>
      </c>
      <c r="G325" s="272">
        <v>1.9571099436141921</v>
      </c>
      <c r="H325" s="272">
        <v>1.6739883971269975</v>
      </c>
      <c r="I325" s="272">
        <v>1.4057277322201749</v>
      </c>
      <c r="J325" t="b">
        <f t="shared" si="41"/>
        <v>1</v>
      </c>
      <c r="K325" s="12" t="s">
        <v>19</v>
      </c>
      <c r="L325" s="714" t="s">
        <v>51</v>
      </c>
      <c r="M325" s="270"/>
      <c r="N325" s="270"/>
      <c r="O325" s="407">
        <f t="shared" si="36"/>
        <v>8.29632489435987</v>
      </c>
      <c r="P325" s="407">
        <f t="shared" si="37"/>
        <v>8.3295430803646635</v>
      </c>
      <c r="Q325" s="407">
        <f t="shared" si="38"/>
        <v>7.8511685584478048</v>
      </c>
      <c r="R325" s="407">
        <f t="shared" si="39"/>
        <v>6.8305634576762895</v>
      </c>
      <c r="S325" s="407">
        <f t="shared" si="40"/>
        <v>5.8471187856101263</v>
      </c>
    </row>
    <row r="326" spans="1:19">
      <c r="A326" s="12" t="s">
        <v>19</v>
      </c>
      <c r="B326" s="714" t="s">
        <v>77</v>
      </c>
      <c r="C326" s="270"/>
      <c r="D326" s="270"/>
      <c r="E326" s="272">
        <v>2.3320557909214585</v>
      </c>
      <c r="F326" s="272">
        <v>2.3253369118631113</v>
      </c>
      <c r="G326" s="272">
        <v>2.1691122806593768</v>
      </c>
      <c r="H326" s="272">
        <v>1.831433598356611</v>
      </c>
      <c r="I326" s="272">
        <v>1.6964022421334342</v>
      </c>
      <c r="J326" t="b">
        <f t="shared" si="41"/>
        <v>1</v>
      </c>
      <c r="K326" s="12" t="s">
        <v>19</v>
      </c>
      <c r="L326" s="714" t="s">
        <v>77</v>
      </c>
      <c r="M326" s="270"/>
      <c r="N326" s="270"/>
      <c r="O326" s="407">
        <f t="shared" si="36"/>
        <v>8.9594505436662715</v>
      </c>
      <c r="P326" s="407">
        <f t="shared" si="37"/>
        <v>9.1849139710415191</v>
      </c>
      <c r="Q326" s="407">
        <f t="shared" si="38"/>
        <v>8.7016399836007743</v>
      </c>
      <c r="R326" s="407">
        <f t="shared" si="39"/>
        <v>7.4730048509088975</v>
      </c>
      <c r="S326" s="407">
        <f t="shared" si="40"/>
        <v>7.0561782275317224</v>
      </c>
    </row>
    <row r="327" spans="1:19">
      <c r="A327" s="12" t="s">
        <v>19</v>
      </c>
      <c r="B327" s="714" t="s">
        <v>78</v>
      </c>
      <c r="C327" s="270"/>
      <c r="D327" s="270"/>
      <c r="E327" s="272">
        <v>0.94083766340920505</v>
      </c>
      <c r="F327" s="272">
        <v>0.89327362005723643</v>
      </c>
      <c r="G327" s="272">
        <v>0.85016201774887534</v>
      </c>
      <c r="H327" s="272">
        <v>0.70172058348408528</v>
      </c>
      <c r="I327" s="272">
        <v>0.70273163357435342</v>
      </c>
      <c r="J327" t="b">
        <f t="shared" si="41"/>
        <v>1</v>
      </c>
      <c r="K327" s="12" t="s">
        <v>19</v>
      </c>
      <c r="L327" s="714" t="s">
        <v>78</v>
      </c>
      <c r="M327" s="270"/>
      <c r="N327" s="270"/>
      <c r="O327" s="407">
        <f t="shared" si="36"/>
        <v>3.6145741228611969</v>
      </c>
      <c r="P327" s="407">
        <f t="shared" si="37"/>
        <v>3.5283667114942086</v>
      </c>
      <c r="Q327" s="407">
        <f t="shared" si="38"/>
        <v>3.4105213787888866</v>
      </c>
      <c r="R327" s="407">
        <f t="shared" si="39"/>
        <v>2.8633095565488818</v>
      </c>
      <c r="S327" s="407">
        <f t="shared" si="40"/>
        <v>2.9230093721104167</v>
      </c>
    </row>
    <row r="328" spans="1:19">
      <c r="A328" s="12" t="s">
        <v>19</v>
      </c>
      <c r="B328" s="714" t="s">
        <v>79</v>
      </c>
      <c r="C328" s="270"/>
      <c r="D328" s="270"/>
      <c r="E328" s="272">
        <v>1.3538563803454693</v>
      </c>
      <c r="F328" s="272">
        <v>1.399085447927888</v>
      </c>
      <c r="G328" s="272">
        <v>1.3245039630700681</v>
      </c>
      <c r="H328" s="272">
        <v>1.0767587664923539</v>
      </c>
      <c r="I328" s="272">
        <v>1.0135822369351568</v>
      </c>
      <c r="J328" t="b">
        <f t="shared" si="41"/>
        <v>1</v>
      </c>
      <c r="K328" s="12" t="s">
        <v>19</v>
      </c>
      <c r="L328" s="714" t="s">
        <v>79</v>
      </c>
      <c r="M328" s="270"/>
      <c r="N328" s="270"/>
      <c r="O328" s="407">
        <f t="shared" si="36"/>
        <v>5.2013375195193969</v>
      </c>
      <c r="P328" s="407">
        <f t="shared" si="37"/>
        <v>5.5262871422178783</v>
      </c>
      <c r="Q328" s="407">
        <f t="shared" si="38"/>
        <v>5.3133979030281715</v>
      </c>
      <c r="R328" s="407">
        <f t="shared" si="39"/>
        <v>4.393620108573125</v>
      </c>
      <c r="S328" s="407">
        <f t="shared" si="40"/>
        <v>4.2159911926785796</v>
      </c>
    </row>
    <row r="329" spans="1:19">
      <c r="A329" s="12" t="s">
        <v>25</v>
      </c>
      <c r="B329" s="267" t="s">
        <v>80</v>
      </c>
      <c r="C329" s="272">
        <v>1.8560134718227432</v>
      </c>
      <c r="D329" s="272">
        <v>1.8152215314521964</v>
      </c>
      <c r="E329" s="272">
        <v>1.7979279925217375</v>
      </c>
      <c r="F329" s="272">
        <v>1.7736992270475671</v>
      </c>
      <c r="G329" s="272">
        <v>1.7484964755788579</v>
      </c>
      <c r="H329" s="270"/>
      <c r="I329" s="270"/>
      <c r="J329" t="b">
        <f t="shared" si="41"/>
        <v>1</v>
      </c>
      <c r="K329" s="12" t="s">
        <v>25</v>
      </c>
      <c r="L329" s="267" t="s">
        <v>80</v>
      </c>
      <c r="M329" s="407">
        <f t="shared" ref="M329:M343" si="42">((C329*F$34)/F$13)*(1-F$13)</f>
        <v>8.3695193812070094</v>
      </c>
      <c r="N329" s="407">
        <f t="shared" ref="N329:N343" si="43">((D329*G$34)/G$13)*(1-G$13)</f>
        <v>9.2393774561373583</v>
      </c>
      <c r="O329" s="407">
        <f t="shared" ref="O329:O343" si="44">((E329*H$34)/H$13)*(1-H$13)</f>
        <v>6.9074020410578614</v>
      </c>
      <c r="P329" s="407">
        <f t="shared" ref="P329:P343" si="45">((F329*I$34)/I$13)*(1-I$13)</f>
        <v>7.0059846931521905</v>
      </c>
      <c r="Q329" s="407">
        <f t="shared" ref="Q329:Q343" si="46">((G329*J$34)/J$13)*(1-J$13)</f>
        <v>7.0142919657699609</v>
      </c>
      <c r="R329" s="270"/>
      <c r="S329" s="270"/>
    </row>
    <row r="330" spans="1:19">
      <c r="A330" s="12" t="s">
        <v>25</v>
      </c>
      <c r="B330" s="267" t="s">
        <v>81</v>
      </c>
      <c r="C330" s="272">
        <v>1.338141135548405</v>
      </c>
      <c r="D330" s="272">
        <v>1.3118504623849501</v>
      </c>
      <c r="E330" s="272">
        <v>1.305225167423345</v>
      </c>
      <c r="F330" s="272">
        <v>1.2886796623765773</v>
      </c>
      <c r="G330" s="272">
        <v>1.2709115989265294</v>
      </c>
      <c r="H330" s="270"/>
      <c r="I330" s="270"/>
      <c r="J330" t="b">
        <f t="shared" si="41"/>
        <v>1</v>
      </c>
      <c r="K330" s="12" t="s">
        <v>25</v>
      </c>
      <c r="L330" s="267" t="s">
        <v>81</v>
      </c>
      <c r="M330" s="407">
        <f t="shared" si="42"/>
        <v>6.0342224551656374</v>
      </c>
      <c r="N330" s="407">
        <f t="shared" si="43"/>
        <v>6.6772464836764049</v>
      </c>
      <c r="O330" s="407">
        <f t="shared" si="44"/>
        <v>5.0145028182440408</v>
      </c>
      <c r="P330" s="407">
        <f t="shared" si="45"/>
        <v>5.0901922103305441</v>
      </c>
      <c r="Q330" s="407">
        <f t="shared" si="46"/>
        <v>5.0984060546092653</v>
      </c>
      <c r="R330" s="270"/>
      <c r="S330" s="270"/>
    </row>
    <row r="331" spans="1:19">
      <c r="A331" s="12" t="s">
        <v>25</v>
      </c>
      <c r="B331" s="267" t="s">
        <v>82</v>
      </c>
      <c r="C331" s="272">
        <v>0.99104421987024149</v>
      </c>
      <c r="D331" s="272">
        <v>0.97030415837322381</v>
      </c>
      <c r="E331" s="272">
        <v>0.96243789501775268</v>
      </c>
      <c r="F331" s="272">
        <v>0.94766848511264923</v>
      </c>
      <c r="G331" s="272">
        <v>0.93824870565692475</v>
      </c>
      <c r="H331" s="270"/>
      <c r="I331" s="270"/>
      <c r="J331" t="b">
        <f t="shared" si="41"/>
        <v>1</v>
      </c>
      <c r="K331" s="12" t="s">
        <v>25</v>
      </c>
      <c r="L331" s="267" t="s">
        <v>82</v>
      </c>
      <c r="M331" s="407">
        <f t="shared" si="42"/>
        <v>4.4690213361928297</v>
      </c>
      <c r="N331" s="407">
        <f t="shared" si="43"/>
        <v>4.9387946380835395</v>
      </c>
      <c r="O331" s="407">
        <f t="shared" si="44"/>
        <v>3.6975593617143607</v>
      </c>
      <c r="P331" s="407">
        <f t="shared" si="45"/>
        <v>3.7432225259146996</v>
      </c>
      <c r="Q331" s="407">
        <f t="shared" si="46"/>
        <v>3.7638911201148826</v>
      </c>
      <c r="R331" s="270"/>
      <c r="S331" s="270"/>
    </row>
    <row r="332" spans="1:19">
      <c r="A332" s="12" t="s">
        <v>25</v>
      </c>
      <c r="B332" s="267" t="s">
        <v>83</v>
      </c>
      <c r="C332" s="272">
        <v>1.2910496821028619</v>
      </c>
      <c r="D332" s="272">
        <v>1.2750295337136959</v>
      </c>
      <c r="E332" s="272">
        <v>1.2614754781555608</v>
      </c>
      <c r="F332" s="272">
        <v>1.2360763844788194</v>
      </c>
      <c r="G332" s="272">
        <v>1.2156373101435318</v>
      </c>
      <c r="H332" s="270"/>
      <c r="I332" s="270"/>
      <c r="J332" t="b">
        <f t="shared" si="41"/>
        <v>1</v>
      </c>
      <c r="K332" s="12" t="s">
        <v>25</v>
      </c>
      <c r="L332" s="267" t="s">
        <v>83</v>
      </c>
      <c r="M332" s="407">
        <f t="shared" si="42"/>
        <v>5.8218679446595178</v>
      </c>
      <c r="N332" s="407">
        <f t="shared" si="43"/>
        <v>6.4898299880120653</v>
      </c>
      <c r="O332" s="407">
        <f t="shared" si="44"/>
        <v>4.8464222865426088</v>
      </c>
      <c r="P332" s="407">
        <f t="shared" si="45"/>
        <v>4.8824130366457386</v>
      </c>
      <c r="Q332" s="407">
        <f t="shared" si="46"/>
        <v>4.8766669746972671</v>
      </c>
      <c r="R332" s="270"/>
      <c r="S332" s="270"/>
    </row>
    <row r="333" spans="1:19">
      <c r="A333" s="12" t="s">
        <v>25</v>
      </c>
      <c r="B333" s="267" t="s">
        <v>84</v>
      </c>
      <c r="C333" s="272">
        <v>1.2693796122665177</v>
      </c>
      <c r="D333" s="272">
        <v>1.2456515312513812</v>
      </c>
      <c r="E333" s="272">
        <v>1.2761225755818488</v>
      </c>
      <c r="F333" s="272">
        <v>1.2778726893812531</v>
      </c>
      <c r="G333" s="272">
        <v>1.2727838897081032</v>
      </c>
      <c r="H333" s="270"/>
      <c r="I333" s="270"/>
      <c r="J333" t="b">
        <f t="shared" si="41"/>
        <v>1</v>
      </c>
      <c r="K333" s="12" t="s">
        <v>25</v>
      </c>
      <c r="L333" s="267" t="s">
        <v>84</v>
      </c>
      <c r="M333" s="407">
        <f t="shared" si="42"/>
        <v>5.724148788930937</v>
      </c>
      <c r="N333" s="407">
        <f t="shared" si="43"/>
        <v>6.3402975761529419</v>
      </c>
      <c r="O333" s="407">
        <f t="shared" si="44"/>
        <v>4.902694501602797</v>
      </c>
      <c r="P333" s="407">
        <f t="shared" si="45"/>
        <v>5.0475054423430645</v>
      </c>
      <c r="Q333" s="407">
        <f t="shared" si="46"/>
        <v>5.1059169614770816</v>
      </c>
      <c r="R333" s="270"/>
      <c r="S333" s="270"/>
    </row>
    <row r="334" spans="1:19">
      <c r="A334" s="12" t="s">
        <v>25</v>
      </c>
      <c r="B334" s="267" t="s">
        <v>85</v>
      </c>
      <c r="C334" s="272">
        <v>0.9684370522563619</v>
      </c>
      <c r="D334" s="272">
        <v>0.97408615926807074</v>
      </c>
      <c r="E334" s="272">
        <v>0.97438656582868766</v>
      </c>
      <c r="F334" s="272">
        <v>0.96522259273076072</v>
      </c>
      <c r="G334" s="272">
        <v>0.95735847603512469</v>
      </c>
      <c r="H334" s="270"/>
      <c r="I334" s="270"/>
      <c r="J334" t="b">
        <f t="shared" si="41"/>
        <v>1</v>
      </c>
      <c r="K334" s="12" t="s">
        <v>25</v>
      </c>
      <c r="L334" s="267" t="s">
        <v>85</v>
      </c>
      <c r="M334" s="407">
        <f t="shared" si="42"/>
        <v>4.3670764255706338</v>
      </c>
      <c r="N334" s="407">
        <f t="shared" si="43"/>
        <v>4.9580448139995239</v>
      </c>
      <c r="O334" s="407">
        <f t="shared" si="44"/>
        <v>3.7434645778802311</v>
      </c>
      <c r="P334" s="407">
        <f t="shared" si="45"/>
        <v>3.8125599915904052</v>
      </c>
      <c r="Q334" s="407">
        <f t="shared" si="46"/>
        <v>3.840552131849059</v>
      </c>
      <c r="R334" s="270"/>
      <c r="S334" s="270"/>
    </row>
    <row r="335" spans="1:19">
      <c r="A335" s="12" t="s">
        <v>25</v>
      </c>
      <c r="B335" s="267" t="s">
        <v>86</v>
      </c>
      <c r="C335" s="272">
        <v>2.0413918945479947</v>
      </c>
      <c r="D335" s="272">
        <v>2.002834526545016</v>
      </c>
      <c r="E335" s="272">
        <v>2.0176858680119603</v>
      </c>
      <c r="F335" s="272">
        <v>2.010800066369304</v>
      </c>
      <c r="G335" s="272">
        <v>2.012461933717149</v>
      </c>
      <c r="H335" s="270"/>
      <c r="I335" s="270"/>
      <c r="J335" t="b">
        <f t="shared" si="41"/>
        <v>1</v>
      </c>
      <c r="K335" s="12" t="s">
        <v>25</v>
      </c>
      <c r="L335" s="267" t="s">
        <v>86</v>
      </c>
      <c r="M335" s="407">
        <f t="shared" si="42"/>
        <v>9.2054660623121105</v>
      </c>
      <c r="N335" s="407">
        <f t="shared" si="43"/>
        <v>10.194317251255503</v>
      </c>
      <c r="O335" s="407">
        <f t="shared" si="44"/>
        <v>7.7516827931310583</v>
      </c>
      <c r="P335" s="407">
        <f t="shared" si="45"/>
        <v>7.9425159977221709</v>
      </c>
      <c r="Q335" s="407">
        <f t="shared" si="46"/>
        <v>8.0732193460194601</v>
      </c>
      <c r="R335" s="270"/>
      <c r="S335" s="270"/>
    </row>
    <row r="336" spans="1:19">
      <c r="A336" s="12" t="s">
        <v>25</v>
      </c>
      <c r="B336" s="267" t="s">
        <v>87</v>
      </c>
      <c r="C336" s="272">
        <v>1.30814382516961</v>
      </c>
      <c r="D336" s="272">
        <v>1.2655629156032961</v>
      </c>
      <c r="E336" s="272">
        <v>1.253112719644278</v>
      </c>
      <c r="F336" s="272">
        <v>1.2591017686030721</v>
      </c>
      <c r="G336" s="272">
        <v>1.2643657265074015</v>
      </c>
      <c r="H336" s="271"/>
      <c r="I336" s="271"/>
      <c r="J336" t="b">
        <f t="shared" si="41"/>
        <v>1</v>
      </c>
      <c r="K336" s="12" t="s">
        <v>25</v>
      </c>
      <c r="L336" s="267" t="s">
        <v>87</v>
      </c>
      <c r="M336" s="407">
        <f t="shared" si="42"/>
        <v>5.8989523860573323</v>
      </c>
      <c r="N336" s="407">
        <f t="shared" si="43"/>
        <v>6.4416454240678966</v>
      </c>
      <c r="O336" s="407">
        <f t="shared" si="44"/>
        <v>4.8142936721320346</v>
      </c>
      <c r="P336" s="407">
        <f t="shared" si="45"/>
        <v>4.9733616519850949</v>
      </c>
      <c r="Q336" s="407">
        <f t="shared" si="46"/>
        <v>5.0721465448191507</v>
      </c>
      <c r="R336" s="271"/>
      <c r="S336" s="271"/>
    </row>
    <row r="337" spans="1:19">
      <c r="A337" s="12" t="s">
        <v>27</v>
      </c>
      <c r="B337" s="267" t="s">
        <v>88</v>
      </c>
      <c r="C337" s="272">
        <v>2.4079045095034153</v>
      </c>
      <c r="D337" s="272">
        <v>2.4996671737090232</v>
      </c>
      <c r="E337" s="272">
        <v>2.5160510965805876</v>
      </c>
      <c r="F337" s="272">
        <v>2.3238778201799244</v>
      </c>
      <c r="G337" s="272">
        <v>2.2881683619967679</v>
      </c>
      <c r="H337" s="270"/>
      <c r="I337" s="270"/>
      <c r="J337" t="b">
        <f t="shared" si="41"/>
        <v>1</v>
      </c>
      <c r="K337" s="12" t="s">
        <v>27</v>
      </c>
      <c r="L337" s="267" t="s">
        <v>88</v>
      </c>
      <c r="M337" s="407">
        <f t="shared" si="42"/>
        <v>10.858220463557757</v>
      </c>
      <c r="N337" s="407">
        <f t="shared" si="43"/>
        <v>12.723168016929149</v>
      </c>
      <c r="O337" s="407">
        <f t="shared" si="44"/>
        <v>9.6663362227041478</v>
      </c>
      <c r="P337" s="407">
        <f t="shared" si="45"/>
        <v>9.1791506635751627</v>
      </c>
      <c r="Q337" s="407">
        <f t="shared" si="46"/>
        <v>9.1792469599170694</v>
      </c>
      <c r="R337" s="270"/>
      <c r="S337" s="270"/>
    </row>
    <row r="338" spans="1:19">
      <c r="A338" s="12" t="s">
        <v>27</v>
      </c>
      <c r="B338" s="267" t="s">
        <v>89</v>
      </c>
      <c r="C338" s="272">
        <v>0.35535269898445798</v>
      </c>
      <c r="D338" s="272">
        <v>0.33811521212748413</v>
      </c>
      <c r="E338" s="272">
        <v>0.35287450221706412</v>
      </c>
      <c r="F338" s="272">
        <v>0.33060618568728362</v>
      </c>
      <c r="G338" s="272">
        <v>0.30228187223292602</v>
      </c>
      <c r="H338" s="270"/>
      <c r="I338" s="270"/>
      <c r="J338" t="b">
        <f t="shared" si="41"/>
        <v>1</v>
      </c>
      <c r="K338" s="12" t="s">
        <v>27</v>
      </c>
      <c r="L338" s="267" t="s">
        <v>89</v>
      </c>
      <c r="M338" s="407">
        <f t="shared" si="42"/>
        <v>1.6024298026208954</v>
      </c>
      <c r="N338" s="407">
        <f t="shared" si="43"/>
        <v>1.7209877771825268</v>
      </c>
      <c r="O338" s="407">
        <f t="shared" si="44"/>
        <v>1.3556972620648244</v>
      </c>
      <c r="P338" s="407">
        <f t="shared" si="45"/>
        <v>1.305870714192076</v>
      </c>
      <c r="Q338" s="407">
        <f t="shared" si="46"/>
        <v>1.2126380221037447</v>
      </c>
      <c r="R338" s="270"/>
      <c r="S338" s="270"/>
    </row>
    <row r="339" spans="1:19">
      <c r="A339" s="12" t="s">
        <v>27</v>
      </c>
      <c r="B339" s="267" t="s">
        <v>90</v>
      </c>
      <c r="C339" s="272">
        <f>C337+C338</f>
        <v>2.7632572084878735</v>
      </c>
      <c r="D339" s="272">
        <f t="shared" ref="D339:G339" si="47">D337+D338</f>
        <v>2.8377823858365074</v>
      </c>
      <c r="E339" s="272">
        <f t="shared" si="47"/>
        <v>2.8689255987976519</v>
      </c>
      <c r="F339" s="272">
        <f t="shared" si="47"/>
        <v>2.6544840058672081</v>
      </c>
      <c r="G339" s="272">
        <f t="shared" si="47"/>
        <v>2.590450234229694</v>
      </c>
      <c r="H339" s="270"/>
      <c r="I339" s="270"/>
      <c r="J339" t="b">
        <f t="shared" si="41"/>
        <v>1</v>
      </c>
      <c r="K339" s="12" t="s">
        <v>27</v>
      </c>
      <c r="L339" s="267" t="s">
        <v>90</v>
      </c>
      <c r="M339" s="407">
        <f t="shared" si="42"/>
        <v>12.460650266178657</v>
      </c>
      <c r="N339" s="407">
        <f t="shared" si="43"/>
        <v>14.444155794111674</v>
      </c>
      <c r="O339" s="407">
        <f t="shared" si="44"/>
        <v>11.022033484768972</v>
      </c>
      <c r="P339" s="407">
        <f t="shared" si="45"/>
        <v>10.485021377767239</v>
      </c>
      <c r="Q339" s="407">
        <f t="shared" si="46"/>
        <v>10.391884982020814</v>
      </c>
      <c r="R339" s="270"/>
      <c r="S339" s="270"/>
    </row>
    <row r="340" spans="1:19">
      <c r="A340" s="12" t="s">
        <v>22</v>
      </c>
      <c r="B340" s="267" t="s">
        <v>91</v>
      </c>
      <c r="C340" s="272">
        <v>5.794647515116063</v>
      </c>
      <c r="D340" s="272">
        <v>5.6654995528096048</v>
      </c>
      <c r="E340" s="272">
        <v>5.4459801653220365</v>
      </c>
      <c r="F340" s="272">
        <v>5.2315625946540782</v>
      </c>
      <c r="G340" s="272">
        <v>5.0709512798558656</v>
      </c>
      <c r="H340" s="270"/>
      <c r="I340" s="270"/>
      <c r="J340" t="b">
        <f t="shared" si="41"/>
        <v>1</v>
      </c>
      <c r="K340" s="12" t="s">
        <v>22</v>
      </c>
      <c r="L340" s="267" t="s">
        <v>91</v>
      </c>
      <c r="M340" s="407">
        <f t="shared" si="42"/>
        <v>26.130421692143145</v>
      </c>
      <c r="N340" s="407">
        <f t="shared" si="43"/>
        <v>28.837080179468916</v>
      </c>
      <c r="O340" s="407">
        <f t="shared" si="44"/>
        <v>20.922736987227402</v>
      </c>
      <c r="P340" s="407">
        <f t="shared" si="45"/>
        <v>20.664296911502849</v>
      </c>
      <c r="Q340" s="407">
        <f t="shared" si="46"/>
        <v>20.342696321036833</v>
      </c>
      <c r="R340" s="270"/>
      <c r="S340" s="270"/>
    </row>
    <row r="341" spans="1:19">
      <c r="A341" s="12" t="s">
        <v>29</v>
      </c>
      <c r="B341" s="267" t="s">
        <v>29</v>
      </c>
      <c r="C341" s="272">
        <v>0.79565936041617891</v>
      </c>
      <c r="D341" s="272">
        <v>0.81379329751844121</v>
      </c>
      <c r="E341" s="272">
        <v>0.83527031824680331</v>
      </c>
      <c r="F341" s="272">
        <v>0.86914049425217754</v>
      </c>
      <c r="G341" s="272">
        <v>0.88933875020036712</v>
      </c>
      <c r="H341" s="270"/>
      <c r="I341" s="270"/>
      <c r="J341" t="b">
        <f t="shared" si="41"/>
        <v>1</v>
      </c>
      <c r="K341" s="12" t="s">
        <v>29</v>
      </c>
      <c r="L341" s="267" t="s">
        <v>29</v>
      </c>
      <c r="M341" s="407">
        <f t="shared" si="42"/>
        <v>3.5879515633591113</v>
      </c>
      <c r="N341" s="407">
        <f t="shared" si="43"/>
        <v>4.1421629904490684</v>
      </c>
      <c r="O341" s="407">
        <f t="shared" si="44"/>
        <v>3.2089983164457925</v>
      </c>
      <c r="P341" s="407">
        <f t="shared" si="45"/>
        <v>3.4330425959903659</v>
      </c>
      <c r="Q341" s="407">
        <f t="shared" si="46"/>
        <v>3.5676832853284148</v>
      </c>
      <c r="R341" s="270"/>
      <c r="S341" s="270"/>
    </row>
    <row r="342" spans="1:19">
      <c r="A342" s="12" t="s">
        <v>22</v>
      </c>
      <c r="B342" s="267" t="s">
        <v>92</v>
      </c>
      <c r="C342" s="272">
        <v>1.067077173491312</v>
      </c>
      <c r="D342" s="272">
        <v>1.1377699704587949</v>
      </c>
      <c r="E342" s="272">
        <v>1.1288688837653649</v>
      </c>
      <c r="F342" s="272">
        <v>1.0874595680858687</v>
      </c>
      <c r="G342" s="272">
        <v>1.0132559350168759</v>
      </c>
      <c r="H342" s="270"/>
      <c r="I342" s="270"/>
      <c r="J342" t="b">
        <f t="shared" si="41"/>
        <v>1</v>
      </c>
      <c r="K342" s="12" t="s">
        <v>22</v>
      </c>
      <c r="L342" s="267" t="s">
        <v>92</v>
      </c>
      <c r="M342" s="407">
        <f t="shared" si="42"/>
        <v>4.8118848383187114</v>
      </c>
      <c r="N342" s="407">
        <f t="shared" si="43"/>
        <v>5.7911863831392072</v>
      </c>
      <c r="O342" s="407">
        <f t="shared" si="44"/>
        <v>4.3369652534698586</v>
      </c>
      <c r="P342" s="407">
        <f t="shared" si="45"/>
        <v>4.2953872743764627</v>
      </c>
      <c r="Q342" s="407">
        <f t="shared" si="46"/>
        <v>4.0647911297074053</v>
      </c>
      <c r="R342" s="270"/>
      <c r="S342" s="270"/>
    </row>
    <row r="343" spans="1:19">
      <c r="A343" s="12" t="s">
        <v>22</v>
      </c>
      <c r="B343" s="267" t="s">
        <v>54</v>
      </c>
      <c r="C343" s="272">
        <v>1.4458842789006556</v>
      </c>
      <c r="D343" s="272">
        <v>1.7460048691359407</v>
      </c>
      <c r="E343" s="272">
        <v>1.7400275177290305</v>
      </c>
      <c r="F343" s="272">
        <v>1.7353254561791309</v>
      </c>
      <c r="G343" s="272">
        <v>1.6416771715292762</v>
      </c>
      <c r="H343" s="270"/>
      <c r="I343" s="270"/>
      <c r="J343" t="b">
        <f t="shared" si="41"/>
        <v>1</v>
      </c>
      <c r="K343" s="12" t="s">
        <v>22</v>
      </c>
      <c r="L343" s="267" t="s">
        <v>54</v>
      </c>
      <c r="M343" s="407">
        <f t="shared" si="42"/>
        <v>6.5200800958395675</v>
      </c>
      <c r="N343" s="407">
        <f t="shared" si="43"/>
        <v>8.8870684633709125</v>
      </c>
      <c r="O343" s="407">
        <f t="shared" si="44"/>
        <v>6.6849560591137163</v>
      </c>
      <c r="P343" s="407">
        <f t="shared" si="45"/>
        <v>6.8544110513401542</v>
      </c>
      <c r="Q343" s="407">
        <f t="shared" si="46"/>
        <v>6.5857742097155381</v>
      </c>
      <c r="R343" s="270"/>
      <c r="S343" s="270"/>
    </row>
    <row r="344" spans="1:19">
      <c r="K344" s="84"/>
      <c r="L344" s="84"/>
      <c r="M344" s="84"/>
    </row>
    <row r="345" spans="1:19">
      <c r="K345" s="84"/>
      <c r="L345" s="84"/>
      <c r="M345" s="284"/>
    </row>
    <row r="346" spans="1:19">
      <c r="K346" s="84"/>
      <c r="M346" s="84"/>
    </row>
    <row r="347" spans="1:19">
      <c r="K347" s="80" t="s">
        <v>241</v>
      </c>
      <c r="L347" s="80" t="s">
        <v>242</v>
      </c>
      <c r="M347" s="84"/>
      <c r="N347" s="84"/>
    </row>
    <row r="348" spans="1:19">
      <c r="C348" s="703"/>
      <c r="D348" s="703"/>
      <c r="E348" s="703"/>
      <c r="F348" s="703"/>
      <c r="G348" s="703"/>
      <c r="J348" s="273"/>
      <c r="K348" s="84"/>
      <c r="L348" s="275"/>
      <c r="M348" s="84"/>
      <c r="N348" s="84"/>
    </row>
    <row r="349" spans="1:19">
      <c r="C349" s="711"/>
      <c r="D349" s="711"/>
      <c r="E349" s="711"/>
      <c r="F349" s="711"/>
      <c r="G349" s="711"/>
      <c r="J349" s="273"/>
      <c r="K349" s="48" t="s">
        <v>6</v>
      </c>
      <c r="L349" s="268" t="s">
        <v>3</v>
      </c>
      <c r="M349" s="137">
        <v>2022</v>
      </c>
      <c r="N349" s="138">
        <f t="shared" ref="N349:S349" si="48">M349+1</f>
        <v>2023</v>
      </c>
      <c r="O349" s="138">
        <f t="shared" si="48"/>
        <v>2024</v>
      </c>
      <c r="P349" s="138">
        <f t="shared" si="48"/>
        <v>2025</v>
      </c>
      <c r="Q349" s="138">
        <f t="shared" si="48"/>
        <v>2026</v>
      </c>
      <c r="R349" s="138">
        <f t="shared" si="48"/>
        <v>2027</v>
      </c>
      <c r="S349" s="138">
        <f t="shared" si="48"/>
        <v>2028</v>
      </c>
    </row>
    <row r="350" spans="1:19">
      <c r="J350" s="273"/>
      <c r="K350" s="12" t="s">
        <v>19</v>
      </c>
      <c r="L350" s="267" t="s">
        <v>70</v>
      </c>
      <c r="M350" s="270"/>
      <c r="N350" s="270"/>
      <c r="O350" s="407">
        <f t="shared" ref="O350:O363" si="49">E315*H$34</f>
        <v>1.8398310084852172</v>
      </c>
      <c r="P350" s="407">
        <f t="shared" ref="P350:P363" si="50">F315*I$34</f>
        <v>1.8166720079030525</v>
      </c>
      <c r="Q350" s="407">
        <f t="shared" ref="Q350:Q363" si="51">G315*J$34</f>
        <v>1.7375849418352214</v>
      </c>
      <c r="R350" s="407">
        <f t="shared" ref="R350:R363" si="52">H315*K$34</f>
        <v>1.7158518230312179</v>
      </c>
      <c r="S350" s="407">
        <f t="shared" ref="S350:S363" si="53">I315*L$34</f>
        <v>1.7486240925415155</v>
      </c>
    </row>
    <row r="351" spans="1:19">
      <c r="J351" s="273"/>
      <c r="K351" s="12" t="s">
        <v>19</v>
      </c>
      <c r="L351" s="267" t="s">
        <v>71</v>
      </c>
      <c r="M351" s="270"/>
      <c r="N351" s="270"/>
      <c r="O351" s="407">
        <f t="shared" si="49"/>
        <v>1.75263264289427</v>
      </c>
      <c r="P351" s="407">
        <f t="shared" si="50"/>
        <v>1.8443976922035672</v>
      </c>
      <c r="Q351" s="407">
        <f t="shared" si="51"/>
        <v>1.7309001531897759</v>
      </c>
      <c r="R351" s="407">
        <f t="shared" si="52"/>
        <v>1.5798389724748891</v>
      </c>
      <c r="S351" s="407">
        <f t="shared" si="53"/>
        <v>1.4102739043235832</v>
      </c>
    </row>
    <row r="352" spans="1:19">
      <c r="J352" s="273"/>
      <c r="K352" s="12" t="s">
        <v>19</v>
      </c>
      <c r="L352" s="267" t="s">
        <v>72</v>
      </c>
      <c r="M352" s="270"/>
      <c r="N352" s="270"/>
      <c r="O352" s="407">
        <f t="shared" si="49"/>
        <v>2.3714425743239986</v>
      </c>
      <c r="P352" s="407">
        <f t="shared" si="50"/>
        <v>2.4423717098743825</v>
      </c>
      <c r="Q352" s="407">
        <f t="shared" si="51"/>
        <v>2.1335514640695803</v>
      </c>
      <c r="R352" s="407">
        <f t="shared" si="52"/>
        <v>1.9373383299010201</v>
      </c>
      <c r="S352" s="407">
        <f t="shared" si="53"/>
        <v>1.6763607686343311</v>
      </c>
    </row>
    <row r="353" spans="10:19">
      <c r="J353" s="273"/>
      <c r="K353" s="12" t="s">
        <v>19</v>
      </c>
      <c r="L353" s="267" t="s">
        <v>52</v>
      </c>
      <c r="M353" s="270"/>
      <c r="N353" s="270"/>
      <c r="O353" s="407">
        <f t="shared" si="49"/>
        <v>2.5143310940304695</v>
      </c>
      <c r="P353" s="407">
        <f t="shared" si="50"/>
        <v>2.7759536944268142</v>
      </c>
      <c r="Q353" s="407">
        <f t="shared" si="51"/>
        <v>3.3541320125584719</v>
      </c>
      <c r="R353" s="407">
        <f t="shared" si="52"/>
        <v>3.3468311579735901</v>
      </c>
      <c r="S353" s="407">
        <f t="shared" si="53"/>
        <v>3.2910885275465023</v>
      </c>
    </row>
    <row r="354" spans="10:19">
      <c r="J354" s="273"/>
      <c r="K354" s="12" t="s">
        <v>19</v>
      </c>
      <c r="L354" s="267" t="s">
        <v>73</v>
      </c>
      <c r="M354" s="270"/>
      <c r="N354" s="270"/>
      <c r="O354" s="407">
        <f t="shared" si="49"/>
        <v>1.6743360640662055</v>
      </c>
      <c r="P354" s="407">
        <f t="shared" si="50"/>
        <v>1.7117957821987844</v>
      </c>
      <c r="Q354" s="407">
        <f t="shared" si="51"/>
        <v>2.0616223805932981</v>
      </c>
      <c r="R354" s="407">
        <f t="shared" si="52"/>
        <v>2.1427572135606616</v>
      </c>
      <c r="S354" s="407">
        <f t="shared" si="53"/>
        <v>2.1836823055890484</v>
      </c>
    </row>
    <row r="355" spans="10:19">
      <c r="J355" s="273"/>
      <c r="K355" s="12" t="s">
        <v>19</v>
      </c>
      <c r="L355" s="267" t="s">
        <v>74</v>
      </c>
      <c r="M355" s="270"/>
      <c r="N355" s="270"/>
      <c r="O355" s="407">
        <f t="shared" si="49"/>
        <v>2.585799772614493</v>
      </c>
      <c r="P355" s="407">
        <f t="shared" si="50"/>
        <v>2.0782064365384678</v>
      </c>
      <c r="Q355" s="407">
        <f t="shared" si="51"/>
        <v>2.3657310928182853</v>
      </c>
      <c r="R355" s="407">
        <f t="shared" si="52"/>
        <v>2.3685449205167779</v>
      </c>
      <c r="S355" s="407">
        <f t="shared" si="53"/>
        <v>2.2662796586405412</v>
      </c>
    </row>
    <row r="356" spans="10:19">
      <c r="J356" s="273"/>
      <c r="K356" s="12" t="s">
        <v>19</v>
      </c>
      <c r="L356" s="267" t="s">
        <v>75</v>
      </c>
      <c r="M356" s="270"/>
      <c r="N356" s="270"/>
      <c r="O356" s="407">
        <f t="shared" si="49"/>
        <v>1.9744881932259173</v>
      </c>
      <c r="P356" s="407">
        <f t="shared" si="50"/>
        <v>2.0304855687694245</v>
      </c>
      <c r="Q356" s="407">
        <f t="shared" si="51"/>
        <v>1.6028962645021947</v>
      </c>
      <c r="R356" s="407">
        <f t="shared" si="52"/>
        <v>1.6391221997255569</v>
      </c>
      <c r="S356" s="407">
        <f t="shared" si="53"/>
        <v>1.6680786922847235</v>
      </c>
    </row>
    <row r="357" spans="10:19">
      <c r="J357" s="273"/>
      <c r="K357" s="12" t="s">
        <v>19</v>
      </c>
      <c r="L357" s="267" t="s">
        <v>4</v>
      </c>
      <c r="M357" s="270"/>
      <c r="N357" s="270"/>
      <c r="O357" s="407">
        <f t="shared" si="49"/>
        <v>1.745513507526631</v>
      </c>
      <c r="P357" s="407">
        <f t="shared" si="50"/>
        <v>1.8128728570979176</v>
      </c>
      <c r="Q357" s="407">
        <f t="shared" si="51"/>
        <v>1.8189354923601961</v>
      </c>
      <c r="R357" s="407">
        <f t="shared" si="52"/>
        <v>1.8223716752738468</v>
      </c>
      <c r="S357" s="407">
        <f t="shared" si="53"/>
        <v>1.8243418540141427</v>
      </c>
    </row>
    <row r="358" spans="10:19">
      <c r="J358" s="273"/>
      <c r="K358" s="12" t="s">
        <v>19</v>
      </c>
      <c r="L358" s="267" t="s">
        <v>76</v>
      </c>
      <c r="M358" s="270"/>
      <c r="N358" s="270"/>
      <c r="O358" s="407">
        <f t="shared" si="49"/>
        <v>1.1357994671005207</v>
      </c>
      <c r="P358" s="407">
        <f t="shared" si="50"/>
        <v>1.2897395801499805</v>
      </c>
      <c r="Q358" s="407">
        <f t="shared" si="51"/>
        <v>1.0123736094548659</v>
      </c>
      <c r="R358" s="407">
        <f t="shared" si="52"/>
        <v>0.96819040384823174</v>
      </c>
      <c r="S358" s="407">
        <f t="shared" si="53"/>
        <v>0.92856856640624896</v>
      </c>
    </row>
    <row r="359" spans="10:19">
      <c r="J359" s="273"/>
      <c r="K359" s="12" t="s">
        <v>19</v>
      </c>
      <c r="L359" s="267" t="s">
        <v>50</v>
      </c>
      <c r="M359" s="270"/>
      <c r="N359" s="270"/>
      <c r="O359" s="407">
        <f t="shared" si="49"/>
        <v>3.2704639786969829</v>
      </c>
      <c r="P359" s="407">
        <f t="shared" si="50"/>
        <v>3.5585730428737943</v>
      </c>
      <c r="Q359" s="407">
        <f t="shared" si="51"/>
        <v>3.3103676579932526</v>
      </c>
      <c r="R359" s="407">
        <f t="shared" si="52"/>
        <v>2.9267957718441324</v>
      </c>
      <c r="S359" s="407">
        <f t="shared" si="53"/>
        <v>2.4510757994331329</v>
      </c>
    </row>
    <row r="360" spans="10:19">
      <c r="J360" s="273"/>
      <c r="K360" s="12" t="s">
        <v>19</v>
      </c>
      <c r="L360" s="714" t="s">
        <v>51</v>
      </c>
      <c r="M360" s="270"/>
      <c r="N360" s="270"/>
      <c r="O360" s="407">
        <f t="shared" si="49"/>
        <v>2.7654416314532897</v>
      </c>
      <c r="P360" s="407">
        <f t="shared" si="50"/>
        <v>2.7765143601215545</v>
      </c>
      <c r="Q360" s="407">
        <f t="shared" si="51"/>
        <v>2.6170561861492683</v>
      </c>
      <c r="R360" s="407">
        <f t="shared" si="52"/>
        <v>2.2768544858920965</v>
      </c>
      <c r="S360" s="407">
        <f t="shared" si="53"/>
        <v>1.9490395952033754</v>
      </c>
    </row>
    <row r="361" spans="10:19">
      <c r="J361" s="273"/>
      <c r="K361" s="12" t="s">
        <v>19</v>
      </c>
      <c r="L361" s="714" t="s">
        <v>77</v>
      </c>
      <c r="M361" s="270"/>
      <c r="N361" s="270"/>
      <c r="O361" s="407">
        <f t="shared" si="49"/>
        <v>2.9864835145554238</v>
      </c>
      <c r="P361" s="407">
        <f t="shared" si="50"/>
        <v>3.0616379903471729</v>
      </c>
      <c r="Q361" s="407">
        <f t="shared" si="51"/>
        <v>2.9005466612002579</v>
      </c>
      <c r="R361" s="407">
        <f t="shared" si="52"/>
        <v>2.4910016169696325</v>
      </c>
      <c r="S361" s="407">
        <f t="shared" si="53"/>
        <v>2.3520594091772407</v>
      </c>
    </row>
    <row r="362" spans="10:19">
      <c r="J362" s="273"/>
      <c r="K362" s="12" t="s">
        <v>19</v>
      </c>
      <c r="L362" s="714" t="s">
        <v>78</v>
      </c>
      <c r="M362" s="270"/>
      <c r="N362" s="270"/>
      <c r="O362" s="407">
        <f t="shared" si="49"/>
        <v>1.2048580409537324</v>
      </c>
      <c r="P362" s="407">
        <f t="shared" si="50"/>
        <v>1.1761222371647362</v>
      </c>
      <c r="Q362" s="407">
        <f t="shared" si="51"/>
        <v>1.1368404595962955</v>
      </c>
      <c r="R362" s="407">
        <f t="shared" si="52"/>
        <v>0.95443651884962732</v>
      </c>
      <c r="S362" s="407">
        <f t="shared" si="53"/>
        <v>0.97433645737013896</v>
      </c>
    </row>
    <row r="363" spans="10:19">
      <c r="J363" s="273"/>
      <c r="K363" s="12" t="s">
        <v>19</v>
      </c>
      <c r="L363" s="714" t="s">
        <v>79</v>
      </c>
      <c r="M363" s="270"/>
      <c r="N363" s="270"/>
      <c r="O363" s="407">
        <f t="shared" si="49"/>
        <v>1.7337791731731325</v>
      </c>
      <c r="P363" s="407">
        <f t="shared" si="50"/>
        <v>1.842095714072626</v>
      </c>
      <c r="Q363" s="407">
        <f t="shared" si="51"/>
        <v>1.7711326343427238</v>
      </c>
      <c r="R363" s="407">
        <f t="shared" si="52"/>
        <v>1.4645400361910417</v>
      </c>
      <c r="S363" s="407">
        <f t="shared" si="53"/>
        <v>1.4053303975595264</v>
      </c>
    </row>
    <row r="364" spans="10:19">
      <c r="J364" s="273"/>
      <c r="K364" s="12" t="s">
        <v>25</v>
      </c>
      <c r="L364" s="267" t="s">
        <v>80</v>
      </c>
      <c r="M364" s="407">
        <f t="shared" ref="M364:M378" si="54">C329*F$34</f>
        <v>1.9632205955917676</v>
      </c>
      <c r="N364" s="407">
        <f t="shared" ref="N364:N378" si="55">D329*G$34</f>
        <v>2.1672613786001209</v>
      </c>
      <c r="O364" s="407">
        <f t="shared" ref="O364:O378" si="56">E329*H$34</f>
        <v>2.3024673470192871</v>
      </c>
      <c r="P364" s="407">
        <f t="shared" ref="P364:P378" si="57">F329*I$34</f>
        <v>2.3353282310507302</v>
      </c>
      <c r="Q364" s="407">
        <f t="shared" ref="Q364:Q378" si="58">G329*J$34</f>
        <v>2.3380973219233203</v>
      </c>
      <c r="R364" s="270"/>
      <c r="S364" s="270"/>
    </row>
    <row r="365" spans="10:19">
      <c r="J365" s="273"/>
      <c r="K365" s="12" t="s">
        <v>25</v>
      </c>
      <c r="L365" s="267" t="s">
        <v>81</v>
      </c>
      <c r="M365" s="407">
        <f t="shared" si="54"/>
        <v>1.4154348968907049</v>
      </c>
      <c r="N365" s="407">
        <f t="shared" si="55"/>
        <v>1.5662676937018727</v>
      </c>
      <c r="O365" s="407">
        <f t="shared" si="56"/>
        <v>1.6715009394146803</v>
      </c>
      <c r="P365" s="407">
        <f t="shared" si="57"/>
        <v>1.696730736776848</v>
      </c>
      <c r="Q365" s="407">
        <f t="shared" si="58"/>
        <v>1.6994686848697551</v>
      </c>
      <c r="R365" s="270"/>
      <c r="S365" s="270"/>
    </row>
    <row r="366" spans="10:19">
      <c r="J366" s="273"/>
      <c r="K366" s="12" t="s">
        <v>25</v>
      </c>
      <c r="L366" s="267" t="s">
        <v>82</v>
      </c>
      <c r="M366" s="407">
        <f t="shared" si="54"/>
        <v>1.0482889554032562</v>
      </c>
      <c r="N366" s="407">
        <f t="shared" si="55"/>
        <v>1.158482692883793</v>
      </c>
      <c r="O366" s="407">
        <f t="shared" si="56"/>
        <v>1.2325197872381202</v>
      </c>
      <c r="P366" s="407">
        <f t="shared" si="57"/>
        <v>1.2477408419715665</v>
      </c>
      <c r="Q366" s="407">
        <f t="shared" si="58"/>
        <v>1.2546303733716275</v>
      </c>
      <c r="R366" s="270"/>
      <c r="S366" s="270"/>
    </row>
    <row r="367" spans="10:19">
      <c r="J367" s="273"/>
      <c r="K367" s="12" t="s">
        <v>25</v>
      </c>
      <c r="L367" s="267" t="s">
        <v>83</v>
      </c>
      <c r="M367" s="407">
        <f t="shared" si="54"/>
        <v>1.3656233450435906</v>
      </c>
      <c r="N367" s="407">
        <f t="shared" si="55"/>
        <v>1.522305799657151</v>
      </c>
      <c r="O367" s="407">
        <f t="shared" si="56"/>
        <v>1.6154740955142031</v>
      </c>
      <c r="P367" s="407">
        <f t="shared" si="57"/>
        <v>1.627471012215246</v>
      </c>
      <c r="Q367" s="407">
        <f t="shared" si="58"/>
        <v>1.6255556582324222</v>
      </c>
      <c r="R367" s="270"/>
      <c r="S367" s="270"/>
    </row>
    <row r="368" spans="10:19">
      <c r="J368" s="273"/>
      <c r="K368" s="12" t="s">
        <v>25</v>
      </c>
      <c r="L368" s="267" t="s">
        <v>84</v>
      </c>
      <c r="M368" s="407">
        <f t="shared" si="54"/>
        <v>1.3427015677739234</v>
      </c>
      <c r="N368" s="407">
        <f t="shared" si="55"/>
        <v>1.4872302956408134</v>
      </c>
      <c r="O368" s="407">
        <f t="shared" si="56"/>
        <v>1.6342315005342658</v>
      </c>
      <c r="P368" s="407">
        <f t="shared" si="57"/>
        <v>1.6825018141143548</v>
      </c>
      <c r="Q368" s="407">
        <f t="shared" si="58"/>
        <v>1.7019723204923605</v>
      </c>
      <c r="R368" s="270"/>
      <c r="S368" s="270"/>
    </row>
    <row r="369" spans="9:19">
      <c r="J369" s="273"/>
      <c r="K369" s="12" t="s">
        <v>25</v>
      </c>
      <c r="L369" s="267" t="s">
        <v>85</v>
      </c>
      <c r="M369" s="407">
        <f t="shared" si="54"/>
        <v>1.0243759516770621</v>
      </c>
      <c r="N369" s="407">
        <f t="shared" si="55"/>
        <v>1.1629981662468019</v>
      </c>
      <c r="O369" s="407">
        <f t="shared" si="56"/>
        <v>1.2478215259600771</v>
      </c>
      <c r="P369" s="407">
        <f t="shared" si="57"/>
        <v>1.2708533305301351</v>
      </c>
      <c r="Q369" s="407">
        <f t="shared" si="58"/>
        <v>1.2801840439496863</v>
      </c>
      <c r="R369" s="270"/>
      <c r="S369" s="270"/>
    </row>
    <row r="370" spans="9:19">
      <c r="J370" s="273"/>
      <c r="K370" s="12" t="s">
        <v>25</v>
      </c>
      <c r="L370" s="267" t="s">
        <v>86</v>
      </c>
      <c r="M370" s="407">
        <f t="shared" si="54"/>
        <v>2.1593068541225939</v>
      </c>
      <c r="N370" s="407">
        <f t="shared" si="55"/>
        <v>2.3912596021463526</v>
      </c>
      <c r="O370" s="407">
        <f t="shared" si="56"/>
        <v>2.5838942643770193</v>
      </c>
      <c r="P370" s="407">
        <f t="shared" si="57"/>
        <v>2.647505332574057</v>
      </c>
      <c r="Q370" s="407">
        <f t="shared" si="58"/>
        <v>2.6910731153398202</v>
      </c>
      <c r="R370" s="270"/>
      <c r="S370" s="270"/>
    </row>
    <row r="371" spans="9:19">
      <c r="J371" s="273"/>
      <c r="K371" s="12" t="s">
        <v>25</v>
      </c>
      <c r="L371" s="267" t="s">
        <v>87</v>
      </c>
      <c r="M371" s="407">
        <f t="shared" si="54"/>
        <v>1.3837048806801149</v>
      </c>
      <c r="N371" s="407">
        <f t="shared" si="55"/>
        <v>1.5110032476208646</v>
      </c>
      <c r="O371" s="407">
        <f t="shared" si="56"/>
        <v>1.604764557377345</v>
      </c>
      <c r="P371" s="407">
        <f t="shared" si="57"/>
        <v>1.657787217328365</v>
      </c>
      <c r="Q371" s="407">
        <f t="shared" si="58"/>
        <v>1.6907155149397168</v>
      </c>
      <c r="R371" s="271"/>
      <c r="S371" s="271"/>
    </row>
    <row r="372" spans="9:19">
      <c r="J372" s="273"/>
      <c r="K372" s="12" t="s">
        <v>27</v>
      </c>
      <c r="L372" s="267" t="s">
        <v>88</v>
      </c>
      <c r="M372" s="407">
        <f t="shared" si="54"/>
        <v>2.5469899852789801</v>
      </c>
      <c r="N372" s="407">
        <f t="shared" si="55"/>
        <v>2.9844468187858495</v>
      </c>
      <c r="O372" s="407">
        <f t="shared" si="56"/>
        <v>3.2221120742347158</v>
      </c>
      <c r="P372" s="407">
        <f t="shared" si="57"/>
        <v>3.0597168878583876</v>
      </c>
      <c r="Q372" s="407">
        <f t="shared" si="58"/>
        <v>3.0597489866390228</v>
      </c>
      <c r="R372" s="270"/>
      <c r="S372" s="270"/>
    </row>
    <row r="373" spans="9:19">
      <c r="J373" s="273"/>
      <c r="K373" s="12" t="s">
        <v>27</v>
      </c>
      <c r="L373" s="267" t="s">
        <v>89</v>
      </c>
      <c r="M373" s="407">
        <f t="shared" si="54"/>
        <v>0.37587859567650633</v>
      </c>
      <c r="N373" s="407">
        <f t="shared" si="55"/>
        <v>0.40368849094404946</v>
      </c>
      <c r="O373" s="407">
        <f t="shared" si="56"/>
        <v>0.4518990873549415</v>
      </c>
      <c r="P373" s="407">
        <f t="shared" si="57"/>
        <v>0.43529023806402534</v>
      </c>
      <c r="Q373" s="407">
        <f t="shared" si="58"/>
        <v>0.40421267403458155</v>
      </c>
      <c r="R373" s="270"/>
      <c r="S373" s="270"/>
    </row>
    <row r="374" spans="9:19">
      <c r="J374" s="273"/>
      <c r="K374" s="12" t="s">
        <v>27</v>
      </c>
      <c r="L374" s="267" t="s">
        <v>90</v>
      </c>
      <c r="M374" s="407">
        <f t="shared" si="54"/>
        <v>2.9228685809554871</v>
      </c>
      <c r="N374" s="407">
        <f t="shared" si="55"/>
        <v>3.3881353097298992</v>
      </c>
      <c r="O374" s="407">
        <f t="shared" si="56"/>
        <v>3.6740111615896573</v>
      </c>
      <c r="P374" s="407">
        <f t="shared" si="57"/>
        <v>3.4950071259224131</v>
      </c>
      <c r="Q374" s="407">
        <f t="shared" si="58"/>
        <v>3.4639616606736046</v>
      </c>
      <c r="R374" s="270"/>
      <c r="S374" s="270"/>
    </row>
    <row r="375" spans="9:19">
      <c r="K375" s="12" t="s">
        <v>22</v>
      </c>
      <c r="L375" s="267" t="s">
        <v>91</v>
      </c>
      <c r="M375" s="407">
        <f t="shared" si="54"/>
        <v>6.1293581747002444</v>
      </c>
      <c r="N375" s="407">
        <f t="shared" si="55"/>
        <v>6.7642533754309806</v>
      </c>
      <c r="O375" s="407">
        <f t="shared" si="56"/>
        <v>6.9742456624091336</v>
      </c>
      <c r="P375" s="407">
        <f t="shared" si="57"/>
        <v>6.8880989705009492</v>
      </c>
      <c r="Q375" s="407">
        <f t="shared" si="58"/>
        <v>6.7808987736789437</v>
      </c>
      <c r="R375" s="270"/>
      <c r="S375" s="270"/>
    </row>
    <row r="376" spans="9:19">
      <c r="I376" s="273"/>
      <c r="K376" s="12" t="s">
        <v>29</v>
      </c>
      <c r="L376" s="267" t="s">
        <v>29</v>
      </c>
      <c r="M376" s="407">
        <f t="shared" si="54"/>
        <v>0.84161826794843342</v>
      </c>
      <c r="N376" s="407">
        <f t="shared" si="55"/>
        <v>0.97161847924113942</v>
      </c>
      <c r="O376" s="407">
        <f t="shared" si="56"/>
        <v>1.0696661054819308</v>
      </c>
      <c r="P376" s="407">
        <f t="shared" si="57"/>
        <v>1.1443475319967886</v>
      </c>
      <c r="Q376" s="407">
        <f t="shared" si="58"/>
        <v>1.1892277617761382</v>
      </c>
      <c r="R376" s="270"/>
      <c r="S376" s="270"/>
    </row>
    <row r="377" spans="9:19">
      <c r="I377" s="273"/>
      <c r="K377" s="12" t="s">
        <v>22</v>
      </c>
      <c r="L377" s="267" t="s">
        <v>92</v>
      </c>
      <c r="M377" s="407">
        <f t="shared" si="54"/>
        <v>1.1287137275068582</v>
      </c>
      <c r="N377" s="407">
        <f t="shared" si="55"/>
        <v>1.3584264355511719</v>
      </c>
      <c r="O377" s="407">
        <f t="shared" si="56"/>
        <v>1.4456550844899529</v>
      </c>
      <c r="P377" s="407">
        <f t="shared" si="57"/>
        <v>1.4317957581254876</v>
      </c>
      <c r="Q377" s="407">
        <f t="shared" si="58"/>
        <v>1.3549303765691352</v>
      </c>
      <c r="R377" s="270"/>
      <c r="S377" s="270"/>
    </row>
    <row r="378" spans="9:19">
      <c r="I378" s="273"/>
      <c r="K378" s="12" t="s">
        <v>22</v>
      </c>
      <c r="L378" s="267" t="s">
        <v>54</v>
      </c>
      <c r="M378" s="407">
        <f t="shared" si="54"/>
        <v>1.5294015039623674</v>
      </c>
      <c r="N378" s="407">
        <f t="shared" si="55"/>
        <v>2.0846209975808314</v>
      </c>
      <c r="O378" s="407">
        <f t="shared" si="56"/>
        <v>2.2283186863712388</v>
      </c>
      <c r="P378" s="407">
        <f t="shared" si="57"/>
        <v>2.2848036837800514</v>
      </c>
      <c r="Q378" s="407">
        <f t="shared" si="58"/>
        <v>2.1952580699051794</v>
      </c>
      <c r="R378" s="270"/>
      <c r="S378" s="270"/>
    </row>
    <row r="379" spans="9:19">
      <c r="I379" s="273"/>
      <c r="K379" s="84"/>
      <c r="L379" s="84"/>
      <c r="M379" s="84"/>
    </row>
    <row r="380" spans="9:19">
      <c r="I380" s="273"/>
    </row>
    <row r="381" spans="9:19">
      <c r="I381" s="273"/>
    </row>
    <row r="382" spans="9:19">
      <c r="I382" s="273"/>
    </row>
    <row r="383" spans="9:19">
      <c r="I383" s="273"/>
    </row>
  </sheetData>
  <mergeCells count="152">
    <mergeCell ref="B37:P37"/>
    <mergeCell ref="B253:C253"/>
    <mergeCell ref="B254:C254"/>
    <mergeCell ref="B255:C255"/>
    <mergeCell ref="B257:C257"/>
    <mergeCell ref="B258:C258"/>
    <mergeCell ref="E251:I251"/>
    <mergeCell ref="E252:I252"/>
    <mergeCell ref="E250:I250"/>
    <mergeCell ref="B256:C256"/>
    <mergeCell ref="E256:I256"/>
    <mergeCell ref="B209:C209"/>
    <mergeCell ref="B206:C206"/>
    <mergeCell ref="B218:C218"/>
    <mergeCell ref="B141:C141"/>
    <mergeCell ref="B176:C176"/>
    <mergeCell ref="B175:C175"/>
    <mergeCell ref="B153:C153"/>
    <mergeCell ref="B154:C154"/>
    <mergeCell ref="B155:C155"/>
    <mergeCell ref="B156:C156"/>
    <mergeCell ref="B157:C157"/>
    <mergeCell ref="B158:C158"/>
    <mergeCell ref="B142:C142"/>
    <mergeCell ref="B143:C143"/>
    <mergeCell ref="B144:C144"/>
    <mergeCell ref="B145:C145"/>
    <mergeCell ref="B146:C146"/>
    <mergeCell ref="B147:C147"/>
    <mergeCell ref="B163:C163"/>
    <mergeCell ref="B167:C167"/>
    <mergeCell ref="B214:C214"/>
    <mergeCell ref="E163:H163"/>
    <mergeCell ref="E166:H166"/>
    <mergeCell ref="E167:H167"/>
    <mergeCell ref="E168:H168"/>
    <mergeCell ref="E165:H165"/>
    <mergeCell ref="B148:C148"/>
    <mergeCell ref="B159:C159"/>
    <mergeCell ref="B170:C170"/>
    <mergeCell ref="B210:C210"/>
    <mergeCell ref="B188:C188"/>
    <mergeCell ref="B190:C190"/>
    <mergeCell ref="B191:C191"/>
    <mergeCell ref="E181:F181"/>
    <mergeCell ref="B185:C185"/>
    <mergeCell ref="E175:H175"/>
    <mergeCell ref="E176:H176"/>
    <mergeCell ref="O61:U61"/>
    <mergeCell ref="H61:N61"/>
    <mergeCell ref="B189:C189"/>
    <mergeCell ref="B207:C207"/>
    <mergeCell ref="B208:C208"/>
    <mergeCell ref="B169:C169"/>
    <mergeCell ref="B171:C171"/>
    <mergeCell ref="B181:C181"/>
    <mergeCell ref="B160:C160"/>
    <mergeCell ref="B149:C149"/>
    <mergeCell ref="B184:C184"/>
    <mergeCell ref="B174:C174"/>
    <mergeCell ref="B177:C177"/>
    <mergeCell ref="B178:C178"/>
    <mergeCell ref="B179:C179"/>
    <mergeCell ref="B180:C180"/>
    <mergeCell ref="B165:C165"/>
    <mergeCell ref="B152:C152"/>
    <mergeCell ref="B164:C164"/>
    <mergeCell ref="B166:C166"/>
    <mergeCell ref="E169:H169"/>
    <mergeCell ref="E170:H170"/>
    <mergeCell ref="E171:H171"/>
    <mergeCell ref="E164:H164"/>
    <mergeCell ref="B269:C269"/>
    <mergeCell ref="D262:E262"/>
    <mergeCell ref="D263:E263"/>
    <mergeCell ref="E186:H186"/>
    <mergeCell ref="E187:H187"/>
    <mergeCell ref="E188:H188"/>
    <mergeCell ref="E189:H189"/>
    <mergeCell ref="E190:H190"/>
    <mergeCell ref="E191:H191"/>
    <mergeCell ref="B211:C211"/>
    <mergeCell ref="B212:C212"/>
    <mergeCell ref="E253:I253"/>
    <mergeCell ref="E254:I254"/>
    <mergeCell ref="E255:I255"/>
    <mergeCell ref="B242:C242"/>
    <mergeCell ref="B243:C243"/>
    <mergeCell ref="B246:C246"/>
    <mergeCell ref="B247:C247"/>
    <mergeCell ref="B239:C239"/>
    <mergeCell ref="B213:C213"/>
    <mergeCell ref="B186:C186"/>
    <mergeCell ref="B187:C187"/>
    <mergeCell ref="B221:C221"/>
    <mergeCell ref="B224:C224"/>
    <mergeCell ref="B267:C267"/>
    <mergeCell ref="E180:H180"/>
    <mergeCell ref="B223:C223"/>
    <mergeCell ref="B217:C217"/>
    <mergeCell ref="B245:C245"/>
    <mergeCell ref="E245:I245"/>
    <mergeCell ref="B268:C268"/>
    <mergeCell ref="E174:H174"/>
    <mergeCell ref="E185:H185"/>
    <mergeCell ref="E184:H184"/>
    <mergeCell ref="E257:I257"/>
    <mergeCell ref="B232:C232"/>
    <mergeCell ref="B234:C234"/>
    <mergeCell ref="B222:C222"/>
    <mergeCell ref="B219:C219"/>
    <mergeCell ref="B220:C220"/>
    <mergeCell ref="E247:I247"/>
    <mergeCell ref="B241:C241"/>
    <mergeCell ref="E229:I229"/>
    <mergeCell ref="E230:I230"/>
    <mergeCell ref="E231:I231"/>
    <mergeCell ref="E228:I228"/>
    <mergeCell ref="B229:C229"/>
    <mergeCell ref="B230:C230"/>
    <mergeCell ref="B231:C231"/>
    <mergeCell ref="B235:C235"/>
    <mergeCell ref="B250:C250"/>
    <mergeCell ref="E244:I244"/>
    <mergeCell ref="E239:I239"/>
    <mergeCell ref="B251:C251"/>
    <mergeCell ref="B252:C252"/>
    <mergeCell ref="B168:C168"/>
    <mergeCell ref="E177:H177"/>
    <mergeCell ref="E178:H178"/>
    <mergeCell ref="E179:H179"/>
    <mergeCell ref="B225:C225"/>
    <mergeCell ref="B266:C266"/>
    <mergeCell ref="B261:C261"/>
    <mergeCell ref="B262:C262"/>
    <mergeCell ref="B263:C263"/>
    <mergeCell ref="B264:C264"/>
    <mergeCell ref="B265:C265"/>
    <mergeCell ref="B236:C236"/>
    <mergeCell ref="E232:I232"/>
    <mergeCell ref="E234:I234"/>
    <mergeCell ref="E235:I235"/>
    <mergeCell ref="E236:I236"/>
    <mergeCell ref="E246:I246"/>
    <mergeCell ref="E240:I240"/>
    <mergeCell ref="E241:I241"/>
    <mergeCell ref="E242:I242"/>
    <mergeCell ref="E243:I243"/>
    <mergeCell ref="B244:C244"/>
    <mergeCell ref="B240:C240"/>
    <mergeCell ref="E258:I258"/>
    <mergeCell ref="E233:I233"/>
  </mergeCells>
  <conditionalFormatting sqref="C97:I97">
    <cfRule type="expression" dxfId="92" priority="13">
      <formula>AND(#REF!="Actuals",#REF!="Forecast")</formula>
    </cfRule>
  </conditionalFormatting>
  <conditionalFormatting sqref="H61">
    <cfRule type="expression" dxfId="91" priority="18">
      <formula>AND(#REF!="Actuals",#REF!="Forecast")</formula>
    </cfRule>
  </conditionalFormatting>
  <conditionalFormatting sqref="H62:U62">
    <cfRule type="expression" dxfId="90" priority="6">
      <formula>AND(#REF!="Actuals",#REF!="Forecast")</formula>
    </cfRule>
  </conditionalFormatting>
  <conditionalFormatting sqref="O61">
    <cfRule type="expression" dxfId="89" priority="7">
      <formula>AND(#REF!="Actuals",#REF!="Forecast")</formula>
    </cfRule>
  </conditionalFormatting>
  <pageMargins left="0.7" right="0.7" top="0.75" bottom="0.75" header="0.3" footer="0.3"/>
  <pageSetup paperSize="9" orientation="portrait" r:id="rId1"/>
  <headerFooter>
    <oddFooter>&amp;C_x000D_&amp;1#&amp;"Calibri"&amp;12&amp;K008000 Internal Use</oddFooter>
  </headerFooter>
  <extLst>
    <ext xmlns:x14="http://schemas.microsoft.com/office/spreadsheetml/2009/9/main" uri="{78C0D931-6437-407d-A8EE-F0AAD7539E65}">
      <x14:conditionalFormattings>
        <x14:conditionalFormatting xmlns:xm="http://schemas.microsoft.com/office/excel/2006/main">
          <x14:cfRule type="expression" priority="21" id="{FAB975EA-77B5-47ED-B7AC-B8CAF74E8714}">
            <xm:f>AND('RFPR cover'!B$7="Actuals",'RFPR cover'!C$7="Forecast")</xm:f>
            <x14:dxf>
              <border>
                <right style="thin">
                  <color auto="1"/>
                </right>
                <vertical/>
                <horizontal/>
              </border>
            </x14:dxf>
          </x14:cfRule>
          <xm:sqref>C314:G314</xm:sqref>
        </x14:conditionalFormatting>
        <x14:conditionalFormatting xmlns:xm="http://schemas.microsoft.com/office/excel/2006/main">
          <x14:cfRule type="expression" priority="297" id="{FAB975EA-77B5-47ED-B7AC-B8CAF74E8714}">
            <xm:f>AND('RFPR cover'!A$7="Actuals",'RFPR cover'!B$7="Forecast")</xm:f>
            <x14:dxf>
              <border>
                <right style="thin">
                  <color auto="1"/>
                </right>
                <vertical/>
                <horizontal/>
              </border>
            </x14:dxf>
          </x14:cfRule>
          <xm:sqref>C41:I41 C54:I54</xm:sqref>
        </x14:conditionalFormatting>
        <x14:conditionalFormatting xmlns:xm="http://schemas.microsoft.com/office/excel/2006/main">
          <x14:cfRule type="expression" priority="292" id="{FAB975EA-77B5-47ED-B7AC-B8CAF74E8714}">
            <xm:f>AND('RFPR cover'!B$7="Actuals",'RFPR cover'!C$7="Forecast")</xm:f>
            <x14:dxf>
              <border>
                <right style="thin">
                  <color auto="1"/>
                </right>
                <vertical/>
                <horizontal/>
              </border>
            </x14:dxf>
          </x14:cfRule>
          <xm:sqref>E33:L33</xm:sqref>
        </x14:conditionalFormatting>
        <x14:conditionalFormatting xmlns:xm="http://schemas.microsoft.com/office/excel/2006/main">
          <x14:cfRule type="expression" priority="295" id="{FAB975EA-77B5-47ED-B7AC-B8CAF74E8714}">
            <xm:f>AND('RFPR cover'!G$7="Actuals",'RFPR cover'!#REF!="Forecast")</xm:f>
            <x14:dxf>
              <border>
                <right style="thin">
                  <color auto="1"/>
                </right>
                <vertical/>
                <horizontal/>
              </border>
            </x14:dxf>
          </x14:cfRule>
          <xm:sqref>H314</xm:sqref>
        </x14:conditionalFormatting>
        <x14:conditionalFormatting xmlns:xm="http://schemas.microsoft.com/office/excel/2006/main">
          <x14:cfRule type="expression" priority="294" id="{FAB975EA-77B5-47ED-B7AC-B8CAF74E8714}">
            <xm:f>AND('RFPR cover'!#REF!="Actuals",'RFPR cover'!H$7="Forecast")</xm:f>
            <x14:dxf>
              <border>
                <right style="thin">
                  <color auto="1"/>
                </right>
                <vertical/>
                <horizontal/>
              </border>
            </x14:dxf>
          </x14:cfRule>
          <xm:sqref>I314</xm:sqref>
        </x14:conditionalFormatting>
        <x14:conditionalFormatting xmlns:xm="http://schemas.microsoft.com/office/excel/2006/main">
          <x14:cfRule type="expression" priority="2" id="{C0744898-5A84-42DA-AEC7-EA546F2FA876}">
            <xm:f>AND('RFPR cover'!B$7="Actuals",'RFPR cover'!C$7="Forecast")</xm:f>
            <x14:dxf>
              <border>
                <right style="thin">
                  <color auto="1"/>
                </right>
                <vertical/>
                <horizontal/>
              </border>
            </x14:dxf>
          </x14:cfRule>
          <xm:sqref>M314:S314 M349:S349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9"/>
  <sheetViews>
    <sheetView workbookViewId="0"/>
  </sheetViews>
  <sheetFormatPr defaultRowHeight="12.75"/>
  <cols>
    <col min="1" max="1" width="8.375" customWidth="1"/>
    <col min="2" max="2" width="23.75" customWidth="1"/>
    <col min="3" max="3" width="25.75" customWidth="1"/>
    <col min="4" max="4" width="9.75" customWidth="1"/>
  </cols>
  <sheetData>
    <row r="1" spans="1:13" ht="20.25">
      <c r="A1" s="95" t="s">
        <v>243</v>
      </c>
      <c r="B1" s="95"/>
      <c r="C1" s="95"/>
      <c r="D1" s="95"/>
      <c r="E1" s="95"/>
      <c r="F1" s="95"/>
      <c r="G1" s="95"/>
      <c r="H1" s="95"/>
      <c r="I1" s="8" t="s">
        <v>244</v>
      </c>
      <c r="J1" s="9"/>
      <c r="K1" s="9"/>
      <c r="L1" s="9"/>
      <c r="M1" s="9"/>
    </row>
    <row r="2" spans="1:13" ht="20.25">
      <c r="A2" s="282" t="str">
        <f>Licensee</f>
        <v>SPMW</v>
      </c>
      <c r="B2" s="95"/>
      <c r="C2" s="95"/>
      <c r="D2" s="95"/>
      <c r="E2" s="95"/>
      <c r="F2" s="95"/>
      <c r="G2" s="95"/>
      <c r="H2" s="95"/>
      <c r="I2" s="9"/>
      <c r="J2" s="9"/>
      <c r="K2" s="9"/>
      <c r="L2" s="9"/>
      <c r="M2" s="9"/>
    </row>
    <row r="3" spans="1:13" ht="20.25">
      <c r="A3" s="95">
        <f>Reporting_Year</f>
        <v>2024</v>
      </c>
      <c r="B3" s="95"/>
      <c r="C3" s="95"/>
      <c r="D3" s="95"/>
      <c r="E3" s="95"/>
      <c r="F3" s="95"/>
      <c r="G3" s="95"/>
      <c r="H3" s="95"/>
      <c r="I3" s="9"/>
      <c r="J3" s="9"/>
      <c r="K3" s="9"/>
      <c r="L3" s="9"/>
      <c r="M3" s="9"/>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5" t="s">
        <v>245</v>
      </c>
      <c r="C6" s="4"/>
      <c r="D6" s="4"/>
      <c r="E6" s="4"/>
      <c r="F6" s="4"/>
      <c r="G6" s="4"/>
      <c r="H6" s="4"/>
      <c r="I6" s="4"/>
      <c r="J6" s="4"/>
      <c r="K6" s="4"/>
      <c r="L6" s="4"/>
      <c r="M6" s="4"/>
    </row>
    <row r="7" spans="1:13">
      <c r="A7" s="4"/>
      <c r="B7" s="4"/>
      <c r="C7" s="4"/>
      <c r="D7" s="4"/>
      <c r="E7" s="4"/>
      <c r="F7" s="4"/>
      <c r="G7" s="4"/>
      <c r="H7" s="4"/>
      <c r="I7" s="4"/>
      <c r="J7" s="4"/>
      <c r="K7" s="4"/>
      <c r="L7" s="4"/>
      <c r="M7" s="4"/>
    </row>
    <row r="8" spans="1:13">
      <c r="A8" s="4"/>
      <c r="B8" s="222" t="s">
        <v>246</v>
      </c>
      <c r="C8" s="222" t="s">
        <v>247</v>
      </c>
      <c r="D8" s="822" t="s">
        <v>248</v>
      </c>
      <c r="E8" s="823"/>
      <c r="F8" s="823"/>
      <c r="G8" s="823"/>
      <c r="H8" s="823"/>
      <c r="I8" s="4"/>
      <c r="J8" s="4"/>
      <c r="K8" s="4"/>
      <c r="L8" s="4"/>
      <c r="M8" s="4"/>
    </row>
    <row r="9" spans="1:13">
      <c r="A9" s="4"/>
      <c r="B9" s="223" t="s">
        <v>249</v>
      </c>
      <c r="C9" s="224" t="s">
        <v>250</v>
      </c>
      <c r="D9" s="820"/>
      <c r="E9" s="821"/>
      <c r="F9" s="821"/>
      <c r="G9" s="821"/>
      <c r="H9" s="821"/>
      <c r="I9" s="4"/>
      <c r="J9" s="4"/>
      <c r="K9" s="4"/>
      <c r="L9" s="4"/>
      <c r="M9" s="4"/>
    </row>
    <row r="10" spans="1:13">
      <c r="A10" s="4"/>
      <c r="B10" s="223" t="s">
        <v>251</v>
      </c>
      <c r="C10" s="224"/>
      <c r="D10" s="820"/>
      <c r="E10" s="821"/>
      <c r="F10" s="821"/>
      <c r="G10" s="821"/>
      <c r="H10" s="821"/>
      <c r="I10" s="4"/>
      <c r="J10" s="4"/>
      <c r="K10" s="4"/>
      <c r="L10" s="4"/>
      <c r="M10" s="4"/>
    </row>
    <row r="11" spans="1:13">
      <c r="A11" s="4"/>
      <c r="B11" s="223" t="s">
        <v>252</v>
      </c>
      <c r="C11" s="224"/>
      <c r="D11" s="820"/>
      <c r="E11" s="821"/>
      <c r="F11" s="821"/>
      <c r="G11" s="821"/>
      <c r="H11" s="821"/>
      <c r="I11" s="4"/>
      <c r="J11" s="4"/>
      <c r="K11" s="4"/>
      <c r="L11" s="4"/>
      <c r="M11" s="4"/>
    </row>
    <row r="12" spans="1:13">
      <c r="A12" s="4"/>
      <c r="B12" s="223" t="s">
        <v>253</v>
      </c>
      <c r="C12" s="224"/>
      <c r="D12" s="820"/>
      <c r="E12" s="821"/>
      <c r="F12" s="821"/>
      <c r="G12" s="821"/>
      <c r="H12" s="821"/>
      <c r="I12" s="4"/>
      <c r="J12" s="4"/>
      <c r="K12" s="4"/>
      <c r="L12" s="4"/>
      <c r="M12" s="4"/>
    </row>
    <row r="13" spans="1:13">
      <c r="A13" s="4"/>
      <c r="B13" s="223" t="s">
        <v>254</v>
      </c>
      <c r="C13" s="224"/>
      <c r="D13" s="820"/>
      <c r="E13" s="821"/>
      <c r="F13" s="821"/>
      <c r="G13" s="821"/>
      <c r="H13" s="821"/>
      <c r="I13" s="4"/>
      <c r="J13" s="4"/>
      <c r="K13" s="4"/>
      <c r="L13" s="4"/>
      <c r="M13" s="4"/>
    </row>
    <row r="14" spans="1:13">
      <c r="A14" s="4"/>
      <c r="B14" s="223" t="s">
        <v>255</v>
      </c>
      <c r="C14" s="224"/>
      <c r="D14" s="820"/>
      <c r="E14" s="821"/>
      <c r="F14" s="821"/>
      <c r="G14" s="821"/>
      <c r="H14" s="821"/>
      <c r="I14" s="4"/>
      <c r="J14" s="4"/>
      <c r="K14" s="4"/>
      <c r="L14" s="4"/>
      <c r="M14" s="4"/>
    </row>
    <row r="15" spans="1:13">
      <c r="A15" s="4"/>
      <c r="B15" s="223" t="s">
        <v>256</v>
      </c>
      <c r="C15" s="224"/>
      <c r="D15" s="820"/>
      <c r="E15" s="821"/>
      <c r="F15" s="821"/>
      <c r="G15" s="821"/>
      <c r="H15" s="821"/>
      <c r="I15" s="4"/>
      <c r="J15" s="4"/>
      <c r="K15" s="4"/>
      <c r="L15" s="4"/>
      <c r="M15" s="4"/>
    </row>
    <row r="16" spans="1:13">
      <c r="A16" s="4"/>
      <c r="B16" s="223" t="s">
        <v>257</v>
      </c>
      <c r="C16" s="224"/>
      <c r="D16" s="820"/>
      <c r="E16" s="821"/>
      <c r="F16" s="821"/>
      <c r="G16" s="821"/>
      <c r="H16" s="821"/>
      <c r="I16" s="4"/>
      <c r="J16" s="4"/>
      <c r="K16" s="4"/>
      <c r="L16" s="4"/>
      <c r="M16" s="4"/>
    </row>
    <row r="17" spans="1:13">
      <c r="A17" s="4"/>
      <c r="B17" s="223" t="s">
        <v>258</v>
      </c>
      <c r="C17" s="224"/>
      <c r="D17" s="820"/>
      <c r="E17" s="821"/>
      <c r="F17" s="821"/>
      <c r="G17" s="821"/>
      <c r="H17" s="821"/>
      <c r="I17" s="4"/>
      <c r="J17" s="4"/>
      <c r="K17" s="4"/>
      <c r="L17" s="4"/>
      <c r="M17" s="4"/>
    </row>
    <row r="18" spans="1:13">
      <c r="A18" s="4"/>
      <c r="B18" s="223" t="s">
        <v>259</v>
      </c>
      <c r="C18" s="224"/>
      <c r="D18" s="820"/>
      <c r="E18" s="821"/>
      <c r="F18" s="821"/>
      <c r="G18" s="821"/>
      <c r="H18" s="821"/>
      <c r="I18" s="4"/>
      <c r="J18" s="4"/>
      <c r="K18" s="4"/>
      <c r="L18" s="4"/>
      <c r="M18" s="4"/>
    </row>
    <row r="19" spans="1:13">
      <c r="A19" s="4"/>
      <c r="B19" s="4"/>
      <c r="C19" s="4"/>
      <c r="D19" s="4"/>
      <c r="E19" s="4"/>
      <c r="F19" s="4"/>
      <c r="G19" s="4"/>
      <c r="H19" s="4"/>
      <c r="I19" s="4"/>
      <c r="J19" s="4"/>
      <c r="K19" s="4"/>
      <c r="L19" s="4"/>
      <c r="M19" s="4"/>
    </row>
    <row r="20" spans="1:13">
      <c r="A20" s="4"/>
      <c r="B20" s="34"/>
      <c r="C20" s="4"/>
      <c r="D20" s="4"/>
      <c r="E20" s="4"/>
      <c r="F20" s="4"/>
      <c r="G20" s="4"/>
      <c r="H20" s="4"/>
      <c r="I20" s="4"/>
      <c r="J20" s="4"/>
      <c r="K20" s="4"/>
      <c r="L20" s="4"/>
    </row>
    <row r="21" spans="1:13">
      <c r="A21" s="4"/>
      <c r="B21" s="47" t="s">
        <v>260</v>
      </c>
      <c r="C21" s="4"/>
      <c r="D21" s="4"/>
      <c r="E21" s="4"/>
      <c r="F21" s="4"/>
      <c r="G21" s="4"/>
      <c r="H21" s="4"/>
      <c r="I21" s="4"/>
      <c r="J21" s="4"/>
      <c r="K21" s="4"/>
      <c r="L21" s="4"/>
    </row>
    <row r="22" spans="1:13">
      <c r="A22" s="4"/>
      <c r="B22" s="47" t="s">
        <v>261</v>
      </c>
      <c r="C22" s="4"/>
      <c r="D22" s="4"/>
      <c r="E22" s="4"/>
      <c r="F22" s="4"/>
      <c r="G22" s="4"/>
      <c r="H22" s="4"/>
      <c r="I22" s="4"/>
      <c r="J22" s="4"/>
      <c r="K22" s="4"/>
      <c r="L22" s="4"/>
    </row>
    <row r="23" spans="1:13">
      <c r="A23" s="4"/>
      <c r="B23" s="47" t="s">
        <v>262</v>
      </c>
      <c r="C23" s="4"/>
      <c r="D23" s="4"/>
      <c r="E23" s="4"/>
      <c r="F23" s="4"/>
      <c r="G23" s="4"/>
      <c r="H23" s="4"/>
      <c r="I23" s="4"/>
      <c r="J23" s="4"/>
      <c r="K23" s="4"/>
      <c r="L23" s="4"/>
    </row>
    <row r="24" spans="1:13">
      <c r="B24" s="47" t="s">
        <v>263</v>
      </c>
    </row>
    <row r="25" spans="1:13">
      <c r="B25" s="47" t="s">
        <v>264</v>
      </c>
    </row>
    <row r="26" spans="1:13">
      <c r="B26" s="47" t="s">
        <v>265</v>
      </c>
    </row>
    <row r="27" spans="1:13">
      <c r="B27" s="47" t="s">
        <v>266</v>
      </c>
    </row>
    <row r="28" spans="1:13">
      <c r="B28" s="47" t="s">
        <v>267</v>
      </c>
    </row>
    <row r="29" spans="1:13">
      <c r="B29" s="47" t="s">
        <v>268</v>
      </c>
    </row>
    <row r="30" spans="1:13">
      <c r="B30" s="47" t="s">
        <v>269</v>
      </c>
    </row>
    <row r="31" spans="1:13">
      <c r="B31" s="190" t="s">
        <v>270</v>
      </c>
    </row>
    <row r="32" spans="1:13">
      <c r="B32" s="47" t="s">
        <v>271</v>
      </c>
    </row>
    <row r="33" spans="2:5">
      <c r="B33" s="47" t="s">
        <v>272</v>
      </c>
    </row>
    <row r="34" spans="2:5">
      <c r="B34" s="47" t="s">
        <v>273</v>
      </c>
    </row>
    <row r="35" spans="2:5">
      <c r="B35" s="47" t="s">
        <v>274</v>
      </c>
      <c r="E35" s="47"/>
    </row>
    <row r="36" spans="2:5">
      <c r="B36" s="47" t="s">
        <v>275</v>
      </c>
    </row>
    <row r="37" spans="2:5">
      <c r="B37" s="47" t="s">
        <v>276</v>
      </c>
    </row>
    <row r="38" spans="2:5">
      <c r="B38" s="47" t="s">
        <v>277</v>
      </c>
    </row>
    <row r="39" spans="2:5">
      <c r="B39" s="47" t="s">
        <v>278</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 ref="B34" location="'F3 - Fixed Rate Debt'!A1" display="F3 - Fixed Rate Debt" xr:uid="{25398B16-F9FF-42BB-8D5A-F47BA229A132}"/>
    <hyperlink ref="B35" location="'F4 - Floating Rate Debt'!A1" display="F4 - Floating Rate Debt" xr:uid="{4565D883-BD45-4622-A128-9148DD7CD7CA}"/>
    <hyperlink ref="B36" location="'F5 - Inflation Linked Debt'!A1" display="F5 - Inflation Linked Debt" xr:uid="{46BD35D0-625C-41B8-AE89-D11173A4FE48}"/>
    <hyperlink ref="B37" location="'F6 - Debt Dataset'!A1" display="F6 - Debt Dataset" xr:uid="{82108CB9-4BF4-4D24-83CC-84DFF933356B}"/>
    <hyperlink ref="B38" location="'I1 - Universal Data'!A1" display="I1 - Universal Data" xr:uid="{55110A85-731F-4FA3-B0AA-2FB65C28B3E1}"/>
    <hyperlink ref="B39" location="'I2 - Monthly Inflation'!A1" display="I2 - Monthly Inflation" xr:uid="{E143F0F9-EEF5-45FF-86E9-6D5AB43D28AB}"/>
  </hyperlinks>
  <pageMargins left="0.70866141732283472" right="0.70866141732283472" top="0.74803149606299213" bottom="0.74803149606299213" header="0.31496062992125984" footer="0.31496062992125984"/>
  <pageSetup scale="77" orientation="portrait" r:id="rId1"/>
  <headerFooter>
    <oddFooter>&amp;C_x000D_&amp;1#&amp;"Calibri"&amp;12&amp;K008000 Internal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113"/>
  <sheetViews>
    <sheetView zoomScaleNormal="100" workbookViewId="0"/>
  </sheetViews>
  <sheetFormatPr defaultRowHeight="12.75"/>
  <cols>
    <col min="1" max="1" width="9.75" customWidth="1"/>
    <col min="2" max="2" width="21.75" customWidth="1"/>
    <col min="3" max="3" width="110.5" customWidth="1"/>
    <col min="4" max="4" width="18.875" customWidth="1"/>
    <col min="5" max="5" width="35.5" customWidth="1"/>
    <col min="6" max="6" width="41.75" customWidth="1"/>
  </cols>
  <sheetData>
    <row r="1" spans="1:10" ht="20.25">
      <c r="A1" s="6" t="s">
        <v>279</v>
      </c>
      <c r="B1" s="6"/>
      <c r="C1" s="6"/>
      <c r="D1" s="6"/>
      <c r="E1" s="6"/>
    </row>
    <row r="2" spans="1:10" ht="20.25">
      <c r="A2" s="282" t="str">
        <f>Licensee</f>
        <v>SPMW</v>
      </c>
      <c r="B2" s="6"/>
      <c r="C2" s="6"/>
      <c r="D2" s="6"/>
      <c r="E2" s="6"/>
    </row>
    <row r="3" spans="1:10" ht="20.25">
      <c r="A3" s="95">
        <f>Reporting_Year</f>
        <v>2024</v>
      </c>
      <c r="B3" s="6"/>
      <c r="C3" s="6"/>
      <c r="D3" s="6"/>
      <c r="E3" s="6"/>
    </row>
    <row r="4" spans="1:10" ht="20.25">
      <c r="A4" s="87"/>
      <c r="B4" s="87"/>
      <c r="C4" s="87"/>
      <c r="D4" s="87"/>
      <c r="E4" s="87"/>
    </row>
    <row r="5" spans="1:10" ht="15">
      <c r="A5" s="257" t="s">
        <v>280</v>
      </c>
      <c r="B5" s="258" t="s">
        <v>281</v>
      </c>
      <c r="C5" s="259" t="s">
        <v>282</v>
      </c>
      <c r="D5" s="245" t="s">
        <v>283</v>
      </c>
    </row>
    <row r="6" spans="1:10">
      <c r="A6" s="213" t="s">
        <v>284</v>
      </c>
      <c r="B6" s="260" t="s">
        <v>285</v>
      </c>
      <c r="C6" s="261" t="s">
        <v>286</v>
      </c>
      <c r="D6" s="256" t="s">
        <v>287</v>
      </c>
    </row>
    <row r="7" spans="1:10">
      <c r="A7" s="213" t="s">
        <v>284</v>
      </c>
      <c r="B7" s="260" t="s">
        <v>288</v>
      </c>
      <c r="C7" s="261" t="s">
        <v>289</v>
      </c>
      <c r="D7" s="256" t="s">
        <v>287</v>
      </c>
    </row>
    <row r="8" spans="1:10" ht="25.5">
      <c r="A8" s="213" t="s">
        <v>284</v>
      </c>
      <c r="B8" s="260" t="s">
        <v>290</v>
      </c>
      <c r="C8" s="261" t="s">
        <v>291</v>
      </c>
      <c r="D8" s="256" t="s">
        <v>287</v>
      </c>
    </row>
    <row r="9" spans="1:10" ht="33.950000000000003" customHeight="1">
      <c r="A9" s="213" t="s">
        <v>284</v>
      </c>
      <c r="B9" s="260" t="s">
        <v>292</v>
      </c>
      <c r="C9" s="261" t="s">
        <v>293</v>
      </c>
      <c r="D9" s="256" t="s">
        <v>287</v>
      </c>
    </row>
    <row r="10" spans="1:10" ht="25.5">
      <c r="A10" s="213" t="s">
        <v>284</v>
      </c>
      <c r="B10" s="260" t="s">
        <v>294</v>
      </c>
      <c r="C10" s="261" t="s">
        <v>295</v>
      </c>
      <c r="D10" s="256" t="s">
        <v>287</v>
      </c>
    </row>
    <row r="11" spans="1:10" ht="25.5">
      <c r="A11" s="213" t="s">
        <v>284</v>
      </c>
      <c r="B11" s="260" t="s">
        <v>261</v>
      </c>
      <c r="C11" s="261" t="s">
        <v>296</v>
      </c>
      <c r="D11" s="256" t="s">
        <v>297</v>
      </c>
      <c r="J11" s="113"/>
    </row>
    <row r="12" spans="1:10" ht="25.5">
      <c r="A12" s="213" t="s">
        <v>284</v>
      </c>
      <c r="B12" s="260" t="s">
        <v>298</v>
      </c>
      <c r="C12" s="261" t="s">
        <v>299</v>
      </c>
      <c r="D12" s="256" t="s">
        <v>300</v>
      </c>
    </row>
    <row r="13" spans="1:10">
      <c r="A13" s="213" t="s">
        <v>284</v>
      </c>
      <c r="B13" s="260" t="s">
        <v>301</v>
      </c>
      <c r="C13" s="261" t="s">
        <v>302</v>
      </c>
      <c r="D13" s="256" t="s">
        <v>303</v>
      </c>
    </row>
    <row r="14" spans="1:10" ht="25.5">
      <c r="A14" s="213" t="s">
        <v>284</v>
      </c>
      <c r="B14" s="260" t="s">
        <v>304</v>
      </c>
      <c r="C14" s="261" t="s">
        <v>305</v>
      </c>
      <c r="D14" s="256" t="s">
        <v>87</v>
      </c>
    </row>
    <row r="15" spans="1:10">
      <c r="A15" s="213" t="s">
        <v>284</v>
      </c>
      <c r="B15" s="260" t="s">
        <v>306</v>
      </c>
      <c r="C15" s="261" t="s">
        <v>307</v>
      </c>
      <c r="D15" s="256" t="s">
        <v>308</v>
      </c>
    </row>
    <row r="16" spans="1:10" ht="74.25" customHeight="1">
      <c r="A16" s="213" t="s">
        <v>284</v>
      </c>
      <c r="B16" s="260" t="s">
        <v>268</v>
      </c>
      <c r="C16" s="261" t="s">
        <v>309</v>
      </c>
      <c r="D16" s="256" t="s">
        <v>92</v>
      </c>
    </row>
    <row r="17" spans="1:4" ht="20.25" customHeight="1">
      <c r="A17" s="213" t="s">
        <v>284</v>
      </c>
      <c r="B17" s="260" t="s">
        <v>306</v>
      </c>
      <c r="C17" s="261" t="s">
        <v>310</v>
      </c>
      <c r="D17" s="256" t="s">
        <v>221</v>
      </c>
    </row>
    <row r="18" spans="1:4" ht="21" customHeight="1">
      <c r="A18" s="213" t="s">
        <v>284</v>
      </c>
      <c r="B18" s="260" t="s">
        <v>306</v>
      </c>
      <c r="C18" s="261" t="s">
        <v>311</v>
      </c>
      <c r="D18" s="256" t="s">
        <v>221</v>
      </c>
    </row>
    <row r="19" spans="1:4" ht="21" customHeight="1">
      <c r="A19" s="213" t="s">
        <v>284</v>
      </c>
      <c r="B19" s="260" t="s">
        <v>312</v>
      </c>
      <c r="C19" s="261" t="s">
        <v>313</v>
      </c>
      <c r="D19" s="256" t="s">
        <v>221</v>
      </c>
    </row>
    <row r="20" spans="1:4" ht="38.450000000000003" customHeight="1">
      <c r="A20" s="213" t="s">
        <v>284</v>
      </c>
      <c r="B20" s="260" t="s">
        <v>314</v>
      </c>
      <c r="C20" s="725" t="s">
        <v>315</v>
      </c>
      <c r="D20" s="256" t="s">
        <v>221</v>
      </c>
    </row>
    <row r="21" spans="1:4">
      <c r="A21" s="213" t="s">
        <v>284</v>
      </c>
      <c r="B21" s="260" t="s">
        <v>288</v>
      </c>
      <c r="C21" s="261" t="s">
        <v>316</v>
      </c>
      <c r="D21" s="256" t="s">
        <v>221</v>
      </c>
    </row>
    <row r="22" spans="1:4" ht="25.5">
      <c r="A22" s="748" t="s">
        <v>284</v>
      </c>
      <c r="B22" s="260" t="s">
        <v>317</v>
      </c>
      <c r="C22" s="261" t="s">
        <v>318</v>
      </c>
      <c r="D22" s="262" t="s">
        <v>287</v>
      </c>
    </row>
    <row r="23" spans="1:4" ht="25.5">
      <c r="A23" s="748" t="s">
        <v>284</v>
      </c>
      <c r="B23" s="260" t="s">
        <v>319</v>
      </c>
      <c r="C23" s="261" t="s">
        <v>320</v>
      </c>
      <c r="D23" s="262" t="s">
        <v>287</v>
      </c>
    </row>
    <row r="24" spans="1:4">
      <c r="A24" s="748" t="s">
        <v>284</v>
      </c>
      <c r="B24" s="260" t="s">
        <v>321</v>
      </c>
      <c r="C24" s="261" t="s">
        <v>322</v>
      </c>
      <c r="D24" s="262" t="s">
        <v>287</v>
      </c>
    </row>
    <row r="25" spans="1:4" ht="25.5">
      <c r="A25" s="748" t="s">
        <v>284</v>
      </c>
      <c r="B25" s="260" t="s">
        <v>323</v>
      </c>
      <c r="C25" s="261" t="s">
        <v>324</v>
      </c>
      <c r="D25" s="262" t="s">
        <v>287</v>
      </c>
    </row>
    <row r="26" spans="1:4" ht="57.6" customHeight="1">
      <c r="A26" s="748" t="s">
        <v>284</v>
      </c>
      <c r="B26" s="260" t="s">
        <v>325</v>
      </c>
      <c r="C26" s="261" t="s">
        <v>326</v>
      </c>
      <c r="D26" s="212" t="s">
        <v>84</v>
      </c>
    </row>
    <row r="27" spans="1:4" ht="63.6" customHeight="1">
      <c r="A27" s="748" t="s">
        <v>284</v>
      </c>
      <c r="B27" s="260" t="s">
        <v>327</v>
      </c>
      <c r="C27" s="261" t="s">
        <v>328</v>
      </c>
      <c r="D27" s="212" t="s">
        <v>84</v>
      </c>
    </row>
    <row r="28" spans="1:4" ht="24" customHeight="1">
      <c r="A28" s="748" t="s">
        <v>284</v>
      </c>
      <c r="B28" s="260" t="s">
        <v>329</v>
      </c>
      <c r="C28" s="261" t="s">
        <v>330</v>
      </c>
      <c r="D28" s="212" t="s">
        <v>331</v>
      </c>
    </row>
    <row r="29" spans="1:4" ht="51">
      <c r="A29" s="748" t="s">
        <v>284</v>
      </c>
      <c r="B29" s="260" t="s">
        <v>332</v>
      </c>
      <c r="C29" s="261" t="s">
        <v>333</v>
      </c>
      <c r="D29" s="256" t="s">
        <v>334</v>
      </c>
    </row>
    <row r="30" spans="1:4">
      <c r="A30" s="748" t="s">
        <v>284</v>
      </c>
      <c r="B30" s="260" t="s">
        <v>268</v>
      </c>
      <c r="C30" s="261" t="s">
        <v>335</v>
      </c>
      <c r="D30" s="256" t="s">
        <v>29</v>
      </c>
    </row>
    <row r="31" spans="1:4">
      <c r="A31" s="748" t="s">
        <v>284</v>
      </c>
      <c r="B31" s="260" t="s">
        <v>336</v>
      </c>
      <c r="C31" s="261" t="s">
        <v>337</v>
      </c>
      <c r="D31" s="256" t="s">
        <v>338</v>
      </c>
    </row>
    <row r="32" spans="1:4">
      <c r="A32" s="748" t="s">
        <v>284</v>
      </c>
      <c r="B32" s="260" t="s">
        <v>339</v>
      </c>
      <c r="C32" s="261" t="s">
        <v>340</v>
      </c>
      <c r="D32" s="256" t="s">
        <v>287</v>
      </c>
    </row>
    <row r="33" spans="1:4">
      <c r="A33" s="748" t="s">
        <v>284</v>
      </c>
      <c r="B33" s="260" t="s">
        <v>339</v>
      </c>
      <c r="C33" s="261" t="s">
        <v>341</v>
      </c>
      <c r="D33" s="256" t="s">
        <v>287</v>
      </c>
    </row>
    <row r="34" spans="1:4">
      <c r="A34" s="748" t="s">
        <v>284</v>
      </c>
      <c r="B34" s="260" t="s">
        <v>342</v>
      </c>
      <c r="C34" s="261" t="s">
        <v>343</v>
      </c>
      <c r="D34" s="256" t="s">
        <v>287</v>
      </c>
    </row>
    <row r="35" spans="1:4">
      <c r="A35" s="748" t="s">
        <v>284</v>
      </c>
      <c r="B35" s="260" t="s">
        <v>344</v>
      </c>
      <c r="C35" s="261" t="s">
        <v>345</v>
      </c>
      <c r="D35" s="256" t="s">
        <v>287</v>
      </c>
    </row>
    <row r="36" spans="1:4">
      <c r="A36" s="748" t="s">
        <v>284</v>
      </c>
      <c r="B36" s="260" t="s">
        <v>346</v>
      </c>
      <c r="C36" s="261" t="s">
        <v>347</v>
      </c>
      <c r="D36" s="256" t="s">
        <v>348</v>
      </c>
    </row>
    <row r="37" spans="1:4" ht="15" customHeight="1">
      <c r="A37" s="748" t="s">
        <v>284</v>
      </c>
      <c r="B37" s="260" t="s">
        <v>346</v>
      </c>
      <c r="C37" s="261" t="s">
        <v>349</v>
      </c>
      <c r="D37" s="256" t="s">
        <v>348</v>
      </c>
    </row>
    <row r="38" spans="1:4" ht="17.45" customHeight="1">
      <c r="A38" s="748" t="s">
        <v>284</v>
      </c>
      <c r="B38" s="260" t="s">
        <v>346</v>
      </c>
      <c r="C38" s="261" t="s">
        <v>350</v>
      </c>
      <c r="D38" s="256" t="s">
        <v>221</v>
      </c>
    </row>
    <row r="39" spans="1:4" ht="26.1" customHeight="1">
      <c r="A39" s="748" t="s">
        <v>284</v>
      </c>
      <c r="B39" s="260" t="s">
        <v>346</v>
      </c>
      <c r="C39" s="261" t="s">
        <v>351</v>
      </c>
      <c r="D39" s="256" t="s">
        <v>348</v>
      </c>
    </row>
    <row r="40" spans="1:4" ht="25.5">
      <c r="A40" s="748" t="s">
        <v>284</v>
      </c>
      <c r="B40" s="260" t="s">
        <v>342</v>
      </c>
      <c r="C40" s="261" t="s">
        <v>352</v>
      </c>
      <c r="D40" s="256" t="s">
        <v>221</v>
      </c>
    </row>
    <row r="41" spans="1:4" ht="25.5">
      <c r="A41" s="748" t="s">
        <v>284</v>
      </c>
      <c r="B41" s="260" t="s">
        <v>353</v>
      </c>
      <c r="C41" s="261" t="s">
        <v>354</v>
      </c>
      <c r="D41" s="256" t="s">
        <v>287</v>
      </c>
    </row>
    <row r="42" spans="1:4">
      <c r="A42" s="748" t="s">
        <v>284</v>
      </c>
      <c r="B42" s="260" t="s">
        <v>355</v>
      </c>
      <c r="C42" s="261" t="s">
        <v>356</v>
      </c>
      <c r="D42" s="256" t="s">
        <v>357</v>
      </c>
    </row>
    <row r="43" spans="1:4">
      <c r="A43" s="748" t="s">
        <v>284</v>
      </c>
      <c r="B43" s="260" t="s">
        <v>358</v>
      </c>
      <c r="C43" s="261" t="s">
        <v>359</v>
      </c>
      <c r="D43" s="256" t="s">
        <v>287</v>
      </c>
    </row>
    <row r="44" spans="1:4">
      <c r="A44" s="748"/>
      <c r="B44" s="136" t="s">
        <v>360</v>
      </c>
      <c r="C44" s="261" t="s">
        <v>361</v>
      </c>
      <c r="D44" s="256" t="s">
        <v>287</v>
      </c>
    </row>
    <row r="45" spans="1:4" ht="25.5">
      <c r="A45" s="748"/>
      <c r="B45" s="136" t="s">
        <v>362</v>
      </c>
      <c r="C45" s="261" t="s">
        <v>363</v>
      </c>
      <c r="D45" s="256" t="s">
        <v>287</v>
      </c>
    </row>
    <row r="46" spans="1:4">
      <c r="A46" s="748" t="s">
        <v>284</v>
      </c>
      <c r="B46" s="260" t="s">
        <v>364</v>
      </c>
      <c r="C46" s="261" t="s">
        <v>365</v>
      </c>
      <c r="D46" s="256" t="s">
        <v>287</v>
      </c>
    </row>
    <row r="47" spans="1:4">
      <c r="A47" s="748" t="s">
        <v>284</v>
      </c>
      <c r="B47" s="260" t="s">
        <v>366</v>
      </c>
      <c r="C47" s="261" t="s">
        <v>367</v>
      </c>
      <c r="D47" s="256" t="s">
        <v>287</v>
      </c>
    </row>
    <row r="48" spans="1:4">
      <c r="A48" s="748" t="s">
        <v>284</v>
      </c>
      <c r="B48" s="260" t="s">
        <v>366</v>
      </c>
      <c r="C48" s="261" t="s">
        <v>368</v>
      </c>
      <c r="D48" s="256" t="s">
        <v>287</v>
      </c>
    </row>
    <row r="49" spans="1:4">
      <c r="A49" s="748" t="s">
        <v>284</v>
      </c>
      <c r="B49" s="260" t="s">
        <v>366</v>
      </c>
      <c r="C49" s="261" t="s">
        <v>369</v>
      </c>
      <c r="D49" s="256" t="s">
        <v>370</v>
      </c>
    </row>
    <row r="50" spans="1:4">
      <c r="A50" s="748" t="s">
        <v>284</v>
      </c>
      <c r="B50" s="260" t="s">
        <v>366</v>
      </c>
      <c r="C50" s="261" t="s">
        <v>371</v>
      </c>
      <c r="D50" s="256" t="s">
        <v>372</v>
      </c>
    </row>
    <row r="51" spans="1:4">
      <c r="A51" s="748" t="s">
        <v>284</v>
      </c>
      <c r="B51" s="260" t="s">
        <v>373</v>
      </c>
      <c r="C51" s="261" t="s">
        <v>374</v>
      </c>
      <c r="D51" s="256" t="s">
        <v>375</v>
      </c>
    </row>
    <row r="52" spans="1:4">
      <c r="A52" s="748" t="s">
        <v>284</v>
      </c>
      <c r="B52" s="260" t="s">
        <v>306</v>
      </c>
      <c r="C52" s="261" t="s">
        <v>376</v>
      </c>
      <c r="D52" s="256" t="s">
        <v>377</v>
      </c>
    </row>
    <row r="53" spans="1:4">
      <c r="A53" s="748" t="s">
        <v>284</v>
      </c>
      <c r="B53" s="260" t="s">
        <v>378</v>
      </c>
      <c r="C53" s="261" t="s">
        <v>379</v>
      </c>
      <c r="D53" s="256" t="s">
        <v>377</v>
      </c>
    </row>
    <row r="54" spans="1:4">
      <c r="A54" s="748" t="s">
        <v>284</v>
      </c>
      <c r="B54" s="260" t="s">
        <v>380</v>
      </c>
      <c r="C54" s="261" t="s">
        <v>381</v>
      </c>
      <c r="D54" s="212" t="s">
        <v>287</v>
      </c>
    </row>
    <row r="55" spans="1:4" ht="51">
      <c r="A55" s="748" t="s">
        <v>382</v>
      </c>
      <c r="B55" s="260" t="s">
        <v>383</v>
      </c>
      <c r="C55" s="261" t="s">
        <v>384</v>
      </c>
      <c r="D55" s="262" t="s">
        <v>287</v>
      </c>
    </row>
    <row r="56" spans="1:4" ht="63.75">
      <c r="A56" s="748" t="s">
        <v>382</v>
      </c>
      <c r="B56" s="260" t="s">
        <v>385</v>
      </c>
      <c r="C56" s="261" t="s">
        <v>386</v>
      </c>
      <c r="D56" s="262" t="s">
        <v>287</v>
      </c>
    </row>
    <row r="57" spans="1:4">
      <c r="A57" s="748" t="s">
        <v>382</v>
      </c>
      <c r="B57" s="260" t="s">
        <v>387</v>
      </c>
      <c r="C57" s="261" t="s">
        <v>388</v>
      </c>
      <c r="D57" s="262" t="s">
        <v>287</v>
      </c>
    </row>
    <row r="58" spans="1:4">
      <c r="A58" s="748" t="s">
        <v>382</v>
      </c>
      <c r="B58" s="260" t="s">
        <v>373</v>
      </c>
      <c r="C58" s="261" t="s">
        <v>389</v>
      </c>
      <c r="D58" s="262" t="s">
        <v>287</v>
      </c>
    </row>
    <row r="59" spans="1:4">
      <c r="A59" s="748" t="s">
        <v>382</v>
      </c>
      <c r="B59" s="260" t="s">
        <v>390</v>
      </c>
      <c r="C59" s="261" t="s">
        <v>391</v>
      </c>
      <c r="D59" s="262" t="s">
        <v>392</v>
      </c>
    </row>
    <row r="60" spans="1:4" ht="25.5">
      <c r="A60" s="748" t="s">
        <v>382</v>
      </c>
      <c r="B60" s="260" t="s">
        <v>342</v>
      </c>
      <c r="C60" s="261" t="s">
        <v>393</v>
      </c>
      <c r="D60" s="262" t="s">
        <v>392</v>
      </c>
    </row>
    <row r="61" spans="1:4">
      <c r="A61" s="748" t="s">
        <v>382</v>
      </c>
      <c r="B61" s="260" t="s">
        <v>394</v>
      </c>
      <c r="C61" s="261" t="s">
        <v>395</v>
      </c>
      <c r="D61" s="262" t="s">
        <v>396</v>
      </c>
    </row>
    <row r="62" spans="1:4">
      <c r="A62" s="748" t="s">
        <v>382</v>
      </c>
      <c r="B62" s="260" t="s">
        <v>383</v>
      </c>
      <c r="C62" s="261" t="s">
        <v>397</v>
      </c>
      <c r="D62" s="262" t="s">
        <v>221</v>
      </c>
    </row>
    <row r="63" spans="1:4">
      <c r="A63" s="748" t="s">
        <v>382</v>
      </c>
      <c r="B63" s="260" t="s">
        <v>398</v>
      </c>
      <c r="C63" s="261" t="s">
        <v>399</v>
      </c>
      <c r="D63" s="262" t="s">
        <v>287</v>
      </c>
    </row>
    <row r="64" spans="1:4" ht="25.5">
      <c r="A64" s="748" t="s">
        <v>382</v>
      </c>
      <c r="B64" s="260" t="s">
        <v>277</v>
      </c>
      <c r="C64" s="261" t="s">
        <v>400</v>
      </c>
      <c r="D64" s="262" t="s">
        <v>287</v>
      </c>
    </row>
    <row r="65" spans="1:4">
      <c r="A65" s="748" t="s">
        <v>382</v>
      </c>
      <c r="B65" s="260" t="s">
        <v>277</v>
      </c>
      <c r="C65" s="261" t="s">
        <v>401</v>
      </c>
      <c r="D65" s="262" t="s">
        <v>287</v>
      </c>
    </row>
    <row r="66" spans="1:4" ht="25.5">
      <c r="A66" s="748" t="s">
        <v>382</v>
      </c>
      <c r="B66" s="260" t="s">
        <v>278</v>
      </c>
      <c r="C66" s="261" t="s">
        <v>402</v>
      </c>
      <c r="D66" s="262" t="s">
        <v>287</v>
      </c>
    </row>
    <row r="67" spans="1:4" ht="25.5">
      <c r="A67" s="748" t="s">
        <v>382</v>
      </c>
      <c r="B67" s="260" t="s">
        <v>339</v>
      </c>
      <c r="C67" s="261" t="s">
        <v>403</v>
      </c>
      <c r="D67" s="262" t="s">
        <v>287</v>
      </c>
    </row>
    <row r="68" spans="1:4">
      <c r="A68" s="748" t="s">
        <v>404</v>
      </c>
      <c r="B68" s="260" t="s">
        <v>405</v>
      </c>
      <c r="C68" s="261" t="s">
        <v>406</v>
      </c>
      <c r="D68" s="262" t="s">
        <v>287</v>
      </c>
    </row>
    <row r="69" spans="1:4" ht="25.5">
      <c r="A69" s="748" t="s">
        <v>404</v>
      </c>
      <c r="B69" s="260" t="s">
        <v>407</v>
      </c>
      <c r="C69" s="261" t="s">
        <v>408</v>
      </c>
      <c r="D69" s="262" t="s">
        <v>287</v>
      </c>
    </row>
    <row r="70" spans="1:4" ht="25.5">
      <c r="A70" s="748" t="s">
        <v>404</v>
      </c>
      <c r="B70" s="708" t="s">
        <v>407</v>
      </c>
      <c r="C70" s="261" t="s">
        <v>409</v>
      </c>
      <c r="D70" s="262" t="s">
        <v>287</v>
      </c>
    </row>
    <row r="71" spans="1:4">
      <c r="A71" s="748" t="s">
        <v>404</v>
      </c>
      <c r="B71" s="708" t="s">
        <v>407</v>
      </c>
      <c r="C71" s="261" t="s">
        <v>410</v>
      </c>
      <c r="D71" s="262" t="s">
        <v>287</v>
      </c>
    </row>
    <row r="72" spans="1:4">
      <c r="A72" s="748" t="s">
        <v>404</v>
      </c>
      <c r="B72" s="708" t="s">
        <v>407</v>
      </c>
      <c r="C72" s="261" t="s">
        <v>411</v>
      </c>
      <c r="D72" s="262" t="s">
        <v>287</v>
      </c>
    </row>
    <row r="73" spans="1:4" ht="25.5">
      <c r="A73" s="748" t="s">
        <v>404</v>
      </c>
      <c r="B73" s="708" t="s">
        <v>412</v>
      </c>
      <c r="C73" s="261" t="s">
        <v>413</v>
      </c>
      <c r="D73" s="262" t="s">
        <v>287</v>
      </c>
    </row>
    <row r="74" spans="1:4" ht="25.5">
      <c r="A74" s="748" t="s">
        <v>414</v>
      </c>
      <c r="B74" s="708" t="s">
        <v>415</v>
      </c>
      <c r="C74" s="261" t="s">
        <v>416</v>
      </c>
      <c r="D74" s="262" t="s">
        <v>417</v>
      </c>
    </row>
    <row r="75" spans="1:4" ht="25.5">
      <c r="A75" s="748" t="s">
        <v>414</v>
      </c>
      <c r="B75" s="708" t="s">
        <v>418</v>
      </c>
      <c r="C75" s="261" t="s">
        <v>419</v>
      </c>
      <c r="D75" s="262" t="s">
        <v>417</v>
      </c>
    </row>
    <row r="76" spans="1:4">
      <c r="A76" s="748" t="s">
        <v>414</v>
      </c>
      <c r="B76" s="708" t="s">
        <v>420</v>
      </c>
      <c r="C76" s="261" t="s">
        <v>421</v>
      </c>
      <c r="D76" s="262" t="s">
        <v>422</v>
      </c>
    </row>
    <row r="77" spans="1:4" ht="25.5">
      <c r="A77" s="748" t="s">
        <v>414</v>
      </c>
      <c r="B77" s="718" t="s">
        <v>423</v>
      </c>
      <c r="C77" s="726" t="s">
        <v>424</v>
      </c>
      <c r="D77" s="719" t="s">
        <v>422</v>
      </c>
    </row>
    <row r="78" spans="1:4" ht="51">
      <c r="A78" s="748" t="s">
        <v>414</v>
      </c>
      <c r="B78" s="260" t="s">
        <v>425</v>
      </c>
      <c r="C78" s="261" t="s">
        <v>426</v>
      </c>
      <c r="D78" s="212" t="s">
        <v>287</v>
      </c>
    </row>
    <row r="79" spans="1:4" ht="25.5">
      <c r="A79" s="748" t="s">
        <v>414</v>
      </c>
      <c r="B79" s="260" t="s">
        <v>427</v>
      </c>
      <c r="C79" s="261" t="s">
        <v>428</v>
      </c>
      <c r="D79" s="212" t="s">
        <v>287</v>
      </c>
    </row>
    <row r="80" spans="1:4" ht="25.5">
      <c r="A80" s="748" t="s">
        <v>414</v>
      </c>
      <c r="B80" s="260" t="s">
        <v>332</v>
      </c>
      <c r="C80" s="261" t="s">
        <v>429</v>
      </c>
      <c r="D80" s="212" t="s">
        <v>287</v>
      </c>
    </row>
    <row r="81" spans="1:4">
      <c r="A81" s="748" t="s">
        <v>414</v>
      </c>
      <c r="B81" s="260" t="s">
        <v>332</v>
      </c>
      <c r="C81" s="261" t="s">
        <v>430</v>
      </c>
      <c r="D81" s="212" t="s">
        <v>287</v>
      </c>
    </row>
    <row r="82" spans="1:4">
      <c r="A82" s="748" t="s">
        <v>414</v>
      </c>
      <c r="B82" s="260" t="s">
        <v>431</v>
      </c>
      <c r="C82" s="261" t="s">
        <v>432</v>
      </c>
      <c r="D82" s="212" t="s">
        <v>287</v>
      </c>
    </row>
    <row r="83" spans="1:4" ht="25.5">
      <c r="A83" s="748" t="s">
        <v>414</v>
      </c>
      <c r="B83" s="260" t="s">
        <v>433</v>
      </c>
      <c r="C83" s="261" t="s">
        <v>434</v>
      </c>
      <c r="D83" s="212" t="s">
        <v>287</v>
      </c>
    </row>
    <row r="84" spans="1:4">
      <c r="A84" s="751" t="s">
        <v>414</v>
      </c>
      <c r="B84" s="723" t="s">
        <v>435</v>
      </c>
      <c r="C84" s="726" t="s">
        <v>436</v>
      </c>
      <c r="D84" s="212" t="s">
        <v>287</v>
      </c>
    </row>
    <row r="85" spans="1:4">
      <c r="A85" s="748" t="s">
        <v>414</v>
      </c>
      <c r="B85" s="260" t="s">
        <v>278</v>
      </c>
      <c r="C85" s="727" t="s">
        <v>437</v>
      </c>
      <c r="D85" s="212" t="s">
        <v>287</v>
      </c>
    </row>
    <row r="86" spans="1:4">
      <c r="A86" s="749" t="s">
        <v>438</v>
      </c>
      <c r="B86" s="723" t="s">
        <v>306</v>
      </c>
      <c r="C86" s="728" t="s">
        <v>439</v>
      </c>
      <c r="D86" s="212" t="s">
        <v>287</v>
      </c>
    </row>
    <row r="87" spans="1:4">
      <c r="A87" s="749" t="s">
        <v>438</v>
      </c>
      <c r="B87" s="736" t="s">
        <v>440</v>
      </c>
      <c r="C87" s="729" t="s">
        <v>441</v>
      </c>
      <c r="D87" s="111" t="s">
        <v>442</v>
      </c>
    </row>
    <row r="88" spans="1:4" ht="25.5">
      <c r="A88" s="749" t="s">
        <v>438</v>
      </c>
      <c r="B88" s="260" t="s">
        <v>443</v>
      </c>
      <c r="C88" s="734" t="s">
        <v>444</v>
      </c>
      <c r="D88" s="735" t="s">
        <v>287</v>
      </c>
    </row>
    <row r="89" spans="1:4">
      <c r="A89" s="749" t="s">
        <v>438</v>
      </c>
      <c r="B89" s="260" t="s">
        <v>445</v>
      </c>
      <c r="C89" s="727" t="s">
        <v>446</v>
      </c>
      <c r="D89" s="212" t="s">
        <v>447</v>
      </c>
    </row>
    <row r="90" spans="1:4" ht="38.25">
      <c r="A90" s="749" t="s">
        <v>438</v>
      </c>
      <c r="B90" s="733" t="s">
        <v>448</v>
      </c>
      <c r="C90" s="737" t="s">
        <v>449</v>
      </c>
      <c r="D90" s="187" t="s">
        <v>447</v>
      </c>
    </row>
    <row r="91" spans="1:4" ht="25.5">
      <c r="A91" s="749" t="s">
        <v>438</v>
      </c>
      <c r="B91" s="743" t="s">
        <v>450</v>
      </c>
      <c r="C91" s="750" t="s">
        <v>451</v>
      </c>
      <c r="D91" s="745" t="s">
        <v>452</v>
      </c>
    </row>
    <row r="92" spans="1:4">
      <c r="A92" s="749" t="s">
        <v>438</v>
      </c>
      <c r="B92" s="743" t="s">
        <v>453</v>
      </c>
      <c r="C92" s="111" t="s">
        <v>454</v>
      </c>
      <c r="D92" s="111" t="s">
        <v>455</v>
      </c>
    </row>
    <row r="93" spans="1:4" ht="25.5">
      <c r="A93" s="749" t="s">
        <v>438</v>
      </c>
      <c r="B93" s="743" t="s">
        <v>456</v>
      </c>
      <c r="C93" s="744" t="s">
        <v>457</v>
      </c>
      <c r="D93" s="111" t="s">
        <v>455</v>
      </c>
    </row>
    <row r="94" spans="1:4" ht="25.5">
      <c r="A94" s="749" t="s">
        <v>438</v>
      </c>
      <c r="B94" s="743" t="s">
        <v>458</v>
      </c>
      <c r="C94" s="744" t="s">
        <v>459</v>
      </c>
      <c r="D94" s="111" t="s">
        <v>460</v>
      </c>
    </row>
    <row r="95" spans="1:4">
      <c r="A95" s="749" t="s">
        <v>438</v>
      </c>
      <c r="B95" s="743" t="s">
        <v>461</v>
      </c>
      <c r="C95" s="744" t="s">
        <v>462</v>
      </c>
      <c r="D95" s="111" t="s">
        <v>460</v>
      </c>
    </row>
    <row r="96" spans="1:4">
      <c r="A96" s="749" t="s">
        <v>438</v>
      </c>
      <c r="B96" s="743" t="s">
        <v>323</v>
      </c>
      <c r="C96" s="744" t="s">
        <v>463</v>
      </c>
      <c r="D96" s="111" t="s">
        <v>464</v>
      </c>
    </row>
    <row r="97" spans="1:4" ht="126" customHeight="1">
      <c r="A97" s="749" t="s">
        <v>438</v>
      </c>
      <c r="B97" s="743" t="s">
        <v>260</v>
      </c>
      <c r="C97" s="744" t="s">
        <v>465</v>
      </c>
      <c r="D97" s="746" t="s">
        <v>466</v>
      </c>
    </row>
    <row r="98" spans="1:4" ht="46.5" customHeight="1">
      <c r="A98" s="749" t="s">
        <v>438</v>
      </c>
      <c r="B98" s="743" t="s">
        <v>467</v>
      </c>
      <c r="C98" s="747" t="s">
        <v>468</v>
      </c>
      <c r="D98" s="746" t="s">
        <v>464</v>
      </c>
    </row>
    <row r="99" spans="1:4">
      <c r="A99" s="749" t="s">
        <v>438</v>
      </c>
      <c r="B99" s="743" t="s">
        <v>339</v>
      </c>
      <c r="C99" s="747" t="s">
        <v>469</v>
      </c>
      <c r="D99" s="746" t="s">
        <v>470</v>
      </c>
    </row>
    <row r="100" spans="1:4">
      <c r="A100" s="749" t="s">
        <v>438</v>
      </c>
      <c r="B100" s="743" t="s">
        <v>471</v>
      </c>
      <c r="C100" s="747" t="s">
        <v>472</v>
      </c>
      <c r="D100" s="746" t="s">
        <v>287</v>
      </c>
    </row>
    <row r="101" spans="1:4">
      <c r="A101" s="749" t="s">
        <v>438</v>
      </c>
      <c r="B101" s="743" t="s">
        <v>323</v>
      </c>
      <c r="C101" s="747" t="s">
        <v>473</v>
      </c>
      <c r="D101" s="746" t="s">
        <v>287</v>
      </c>
    </row>
    <row r="102" spans="1:4">
      <c r="A102" s="749" t="s">
        <v>438</v>
      </c>
      <c r="B102" s="743" t="s">
        <v>323</v>
      </c>
      <c r="C102" s="747" t="s">
        <v>474</v>
      </c>
      <c r="D102" s="746" t="s">
        <v>475</v>
      </c>
    </row>
    <row r="103" spans="1:4">
      <c r="A103" s="749" t="s">
        <v>438</v>
      </c>
      <c r="B103" s="743" t="s">
        <v>277</v>
      </c>
      <c r="C103" s="747" t="s">
        <v>476</v>
      </c>
      <c r="D103" s="746" t="s">
        <v>287</v>
      </c>
    </row>
    <row r="104" spans="1:4" ht="25.5">
      <c r="A104" s="749" t="s">
        <v>438</v>
      </c>
      <c r="B104" s="743" t="s">
        <v>477</v>
      </c>
      <c r="C104" s="747" t="s">
        <v>478</v>
      </c>
      <c r="D104" s="746" t="s">
        <v>287</v>
      </c>
    </row>
    <row r="105" spans="1:4" ht="25.5">
      <c r="A105" s="749" t="s">
        <v>438</v>
      </c>
      <c r="B105" s="743" t="s">
        <v>265</v>
      </c>
      <c r="C105" s="747" t="s">
        <v>479</v>
      </c>
      <c r="D105" s="746" t="s">
        <v>287</v>
      </c>
    </row>
    <row r="106" spans="1:4">
      <c r="A106" s="749" t="s">
        <v>438</v>
      </c>
      <c r="B106" s="743" t="s">
        <v>480</v>
      </c>
      <c r="C106" s="747" t="s">
        <v>481</v>
      </c>
      <c r="D106" s="746" t="s">
        <v>204</v>
      </c>
    </row>
    <row r="107" spans="1:4">
      <c r="C107" s="37"/>
    </row>
    <row r="108" spans="1:4">
      <c r="C108" s="37"/>
    </row>
    <row r="109" spans="1:4">
      <c r="C109" s="37"/>
    </row>
    <row r="110" spans="1:4">
      <c r="C110" s="37"/>
    </row>
    <row r="111" spans="1:4">
      <c r="C111" s="37"/>
    </row>
    <row r="112" spans="1:4">
      <c r="C112" s="37"/>
    </row>
    <row r="113" spans="3:3">
      <c r="C113" s="37"/>
    </row>
  </sheetData>
  <phoneticPr fontId="248" type="noConversion"/>
  <pageMargins left="0.70866141732283472" right="0.70866141732283472" top="0.74803149606299213" bottom="0.74803149606299213" header="0.31496062992125984" footer="0.31496062992125984"/>
  <pageSetup paperSize="8" scale="86" orientation="landscape" r:id="rId1"/>
  <headerFooter>
    <oddFooter>&amp;C_x000D_&amp;1#&amp;"Calibri"&amp;12&amp;K008000 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W101"/>
  <sheetViews>
    <sheetView zoomScaleNormal="100" workbookViewId="0"/>
  </sheetViews>
  <sheetFormatPr defaultColWidth="9" defaultRowHeight="12.75"/>
  <cols>
    <col min="1" max="1" width="8.375" customWidth="1"/>
    <col min="2" max="2" width="50.125" style="34" customWidth="1"/>
    <col min="3" max="3" width="13.375" customWidth="1"/>
    <col min="4" max="4" width="10.625" bestFit="1" customWidth="1"/>
    <col min="5" max="5" width="10.875" bestFit="1" customWidth="1"/>
    <col min="6" max="8" width="9.125" customWidth="1"/>
    <col min="9" max="9" width="2.625" customWidth="1"/>
    <col min="10" max="11" width="13.75" customWidth="1"/>
    <col min="12" max="12" width="5.125" customWidth="1"/>
    <col min="16" max="16" width="10.5" bestFit="1" customWidth="1"/>
  </cols>
  <sheetData>
    <row r="1" spans="1:20" ht="20.25">
      <c r="A1" s="241" t="s">
        <v>482</v>
      </c>
      <c r="B1" s="312"/>
      <c r="C1" s="313"/>
      <c r="D1" s="313"/>
      <c r="E1" s="313"/>
      <c r="F1" s="313"/>
      <c r="G1" s="314"/>
      <c r="H1" s="314"/>
      <c r="I1" s="315"/>
      <c r="J1" s="315"/>
      <c r="K1" s="315"/>
      <c r="L1" s="316" t="s">
        <v>244</v>
      </c>
    </row>
    <row r="2" spans="1:20" ht="20.25">
      <c r="A2" s="282" t="str">
        <f>Licensee</f>
        <v>SPMW</v>
      </c>
      <c r="B2" s="317"/>
      <c r="C2" s="95"/>
      <c r="D2" s="95"/>
      <c r="E2" s="95"/>
      <c r="F2" s="95"/>
      <c r="G2" s="6"/>
      <c r="H2" s="6"/>
      <c r="I2" s="318"/>
      <c r="J2" s="318"/>
      <c r="K2" s="318"/>
      <c r="L2" s="319"/>
    </row>
    <row r="3" spans="1:20" ht="20.25">
      <c r="A3" s="95">
        <f>Reporting_Year</f>
        <v>2024</v>
      </c>
      <c r="B3" s="6" t="str">
        <f>IF(Licensee=Data!$B$86,"Only required to be completed to show Operational Performance",IF(Licensee=Data!$B$89,"not required to be completed",""))</f>
        <v/>
      </c>
      <c r="C3" s="6"/>
      <c r="D3" s="6"/>
      <c r="E3" s="6"/>
      <c r="F3" s="6"/>
      <c r="G3" s="6"/>
      <c r="H3" s="320"/>
      <c r="I3" s="321"/>
      <c r="J3" s="321"/>
      <c r="K3" s="321"/>
      <c r="L3" s="322"/>
    </row>
    <row r="4" spans="1:20" ht="12.75" customHeight="1"/>
    <row r="5" spans="1:20">
      <c r="D5" s="323" t="str">
        <f t="shared" ref="D5:H5" si="0">IF(D6&lt;=Reporting_Year,"Actuals","Forecast")</f>
        <v>Actuals</v>
      </c>
      <c r="E5" s="323" t="str">
        <f t="shared" si="0"/>
        <v>Forecast</v>
      </c>
      <c r="F5" s="323" t="str">
        <f t="shared" si="0"/>
        <v>Forecast</v>
      </c>
      <c r="G5" s="323" t="str">
        <f t="shared" si="0"/>
        <v>Forecast</v>
      </c>
      <c r="H5" s="323" t="str">
        <f t="shared" si="0"/>
        <v>Forecast</v>
      </c>
      <c r="I5" s="324"/>
      <c r="J5" s="324"/>
    </row>
    <row r="6" spans="1:20" ht="31.5" customHeight="1">
      <c r="C6" s="325"/>
      <c r="D6" s="326">
        <f>RIIO_2_start_date</f>
        <v>2024</v>
      </c>
      <c r="E6" s="326">
        <f>D6+1</f>
        <v>2025</v>
      </c>
      <c r="F6" s="326">
        <f>E6+1</f>
        <v>2026</v>
      </c>
      <c r="G6" s="326">
        <f t="shared" ref="G6:H6" si="1">F6+1</f>
        <v>2027</v>
      </c>
      <c r="H6" s="326">
        <f t="shared" si="1"/>
        <v>2028</v>
      </c>
      <c r="I6" s="10"/>
      <c r="J6" s="327" t="str">
        <f>"Cumulative to "&amp;'RFPR cover'!$C$9</f>
        <v>Cumulative to 2024</v>
      </c>
      <c r="K6" s="328" t="s">
        <v>483</v>
      </c>
    </row>
    <row r="7" spans="1:20">
      <c r="C7" s="325"/>
      <c r="D7" s="329" t="str">
        <f>RIIO_2_start_date-1&amp;"/"&amp;RIGHT(RIIO_2_start_date,2)</f>
        <v>2023/24</v>
      </c>
      <c r="E7" s="329" t="str">
        <f>RIIO_2_start_date&amp;"/"&amp;RIGHT(RIIO_2_start_date+1,2)</f>
        <v>2024/25</v>
      </c>
      <c r="F7" s="329" t="str">
        <f>RIIO_2_start_date+1&amp;"/"&amp;RIGHT(RIIO_2_start_date+2,2)</f>
        <v>2025/26</v>
      </c>
      <c r="G7" s="329" t="str">
        <f>RIIO_2_start_date+2&amp;"/"&amp;RIGHT(RIIO_2_start_date+3,2)</f>
        <v>2026/27</v>
      </c>
      <c r="H7" s="329" t="str">
        <f>RIIO_2_start_date+3&amp;"/"&amp;RIGHT(RIIO_2_start_date+4,2)</f>
        <v>2027/28</v>
      </c>
      <c r="I7" s="325"/>
      <c r="J7" s="325"/>
      <c r="K7" s="325"/>
      <c r="L7" s="325"/>
    </row>
    <row r="8" spans="1:20">
      <c r="C8" s="34"/>
      <c r="D8" s="34"/>
      <c r="E8" s="34"/>
      <c r="F8" s="34"/>
      <c r="G8" s="34"/>
      <c r="H8" s="34"/>
      <c r="I8" s="34"/>
      <c r="J8" s="34"/>
      <c r="K8" s="34"/>
      <c r="L8" s="34"/>
      <c r="M8" s="34"/>
      <c r="N8" s="34"/>
      <c r="O8" s="34"/>
      <c r="P8" s="34"/>
      <c r="Q8" s="34"/>
      <c r="R8" s="34"/>
      <c r="S8" s="34"/>
      <c r="T8" s="34"/>
    </row>
    <row r="9" spans="1:20">
      <c r="B9" s="330" t="s">
        <v>484</v>
      </c>
      <c r="C9" s="38"/>
      <c r="D9" s="38"/>
      <c r="E9" s="38"/>
      <c r="F9" s="38"/>
      <c r="G9" s="38"/>
      <c r="H9" s="38"/>
      <c r="I9" s="331"/>
      <c r="J9" s="38"/>
      <c r="K9" s="38"/>
      <c r="L9" s="38"/>
    </row>
    <row r="10" spans="1:20">
      <c r="B10" s="332"/>
      <c r="I10" s="10"/>
    </row>
    <row r="11" spans="1:20">
      <c r="B11" s="163" t="s">
        <v>485</v>
      </c>
      <c r="C11" s="162" t="s">
        <v>486</v>
      </c>
      <c r="D11" s="63">
        <f>IFERROR(Equity_Return_on_the_RAV/NPV_neutral_equity_element_of_RAV,0)</f>
        <v>5.2833944000000008E-2</v>
      </c>
      <c r="E11" s="63">
        <f>IFERROR(Equity_Return_on_the_RAV/NPV_neutral_equity_element_of_RAV,0)</f>
        <v>5.5875458000000003E-2</v>
      </c>
      <c r="F11" s="63">
        <f>IFERROR(Equity_Return_on_the_RAV/NPV_neutral_equity_element_of_RAV,0)</f>
        <v>5.5175427000000006E-2</v>
      </c>
      <c r="G11" s="63">
        <f>IFERROR(Equity_Return_on_the_RAV/NPV_neutral_equity_element_of_RAV,0)</f>
        <v>5.5320261000000003E-2</v>
      </c>
      <c r="H11" s="63">
        <f>IFERROR(Equity_Return_on_the_RAV/NPV_neutral_equity_element_of_RAV,0)</f>
        <v>5.5489234000000012E-2</v>
      </c>
      <c r="I11" s="333"/>
      <c r="J11" s="64">
        <f>IFERROR(AVERAGE(D65:INDEX(D65:H65,0,MATCH('RFPR cover'!$C$9,$D$6:$H$6,0)))/AVERAGE($D$90:INDEX($D$90:$H$90,0,MATCH('RFPR cover'!$C$9,$D$6:$H$6,0))),0)</f>
        <v>5.2833944000000008E-2</v>
      </c>
      <c r="K11" s="64">
        <f t="shared" ref="K11:K21" si="2">IFERROR(AVERAGE(D65:H65)/AVERAGE($D$90:$H$90),0)</f>
        <v>5.4973284768684703E-2</v>
      </c>
      <c r="N11" s="754"/>
      <c r="O11" s="168"/>
    </row>
    <row r="12" spans="1:20">
      <c r="B12" s="163" t="str">
        <f t="shared" ref="B12:B18" si="3">B66</f>
        <v>Totex outperformance</v>
      </c>
      <c r="C12" s="162" t="s">
        <v>486</v>
      </c>
      <c r="D12" s="63">
        <f>IFERROR(Totex_outperformance/NPV_neutral_equity_element_of_RAV,0)</f>
        <v>0</v>
      </c>
      <c r="E12" s="63">
        <f>IFERROR(Totex_outperformance/NPV_neutral_equity_element_of_RAV,0)</f>
        <v>0</v>
      </c>
      <c r="F12" s="63">
        <f>IFERROR(Totex_outperformance/NPV_neutral_equity_element_of_RAV,0)</f>
        <v>0</v>
      </c>
      <c r="G12" s="63">
        <f>IFERROR(Totex_outperformance/NPV_neutral_equity_element_of_RAV,0)</f>
        <v>0</v>
      </c>
      <c r="H12" s="63">
        <f>IFERROR(Totex_outperformance/NPV_neutral_equity_element_of_RAV,0)</f>
        <v>0</v>
      </c>
      <c r="I12" s="333"/>
      <c r="J12" s="64">
        <f>IFERROR(AVERAGE(D66:INDEX(D66:H66,0,MATCH('RFPR cover'!$C$9,$D$6:$H$6,0)))/AVERAGE($D$90:INDEX($D$90:$H$90,0,MATCH('RFPR cover'!$C$9,$D$6:$H$6,0))),0)</f>
        <v>0</v>
      </c>
      <c r="K12" s="64">
        <f t="shared" si="2"/>
        <v>0</v>
      </c>
      <c r="M12" s="333"/>
      <c r="N12" s="754"/>
      <c r="O12" s="168"/>
    </row>
    <row r="13" spans="1:20">
      <c r="A13" s="334"/>
      <c r="B13" s="163" t="str">
        <f t="shared" si="3"/>
        <v>Business Plan Incentive</v>
      </c>
      <c r="C13" s="162" t="s">
        <v>486</v>
      </c>
      <c r="D13" s="63">
        <f>IFERROR(Business_Plan_Incentive/NPV_neutral_equity_element_of_RAV,0)</f>
        <v>0</v>
      </c>
      <c r="E13" s="63">
        <f>IFERROR(Business_Plan_Incentive/NPV_neutral_equity_element_of_RAV,0)</f>
        <v>0</v>
      </c>
      <c r="F13" s="63">
        <f>IFERROR(Business_Plan_Incentive/NPV_neutral_equity_element_of_RAV,0)</f>
        <v>0</v>
      </c>
      <c r="G13" s="63">
        <f>IFERROR(Business_Plan_Incentive/NPV_neutral_equity_element_of_RAV,0)</f>
        <v>0</v>
      </c>
      <c r="H13" s="63">
        <f>IFERROR(Business_Plan_Incentive/NPV_neutral_equity_element_of_RAV,0)</f>
        <v>0</v>
      </c>
      <c r="I13" s="333"/>
      <c r="J13" s="64">
        <f>IFERROR(AVERAGE(D67:INDEX(D67:H67,0,MATCH('RFPR cover'!$C$9,$D$6:$H$6,0)))/AVERAGE($D$90:INDEX($D$90:$H$90,0,MATCH('RFPR cover'!$C$9,$D$6:$H$6,0))),0)</f>
        <v>0</v>
      </c>
      <c r="K13" s="64">
        <f t="shared" si="2"/>
        <v>0</v>
      </c>
      <c r="N13" s="754"/>
      <c r="O13" s="168"/>
    </row>
    <row r="14" spans="1:20">
      <c r="A14" s="334"/>
      <c r="B14" s="163" t="str">
        <f t="shared" si="3"/>
        <v>Time to connect ODI</v>
      </c>
      <c r="C14" s="162" t="s">
        <v>486</v>
      </c>
      <c r="D14" s="63">
        <f>IFERROR(ODI_1/NPV_neutral_equity_element_of_RAV,0)</f>
        <v>2.5465108544690145E-4</v>
      </c>
      <c r="E14" s="63">
        <f>IFERROR(ODI_1/NPV_neutral_equity_element_of_RAV,0)</f>
        <v>1.4910621651734928E-4</v>
      </c>
      <c r="F14" s="63">
        <f>IFERROR(ODI_1/NPV_neutral_equity_element_of_RAV,0)</f>
        <v>1.42589464228097E-4</v>
      </c>
      <c r="G14" s="63">
        <f>IFERROR(ODI_1/NPV_neutral_equity_element_of_RAV,0)</f>
        <v>1.3737736664688776E-4</v>
      </c>
      <c r="H14" s="63">
        <f>IFERROR(ODI_1/NPV_neutral_equity_element_of_RAV,0)</f>
        <v>1.3269324509766623E-4</v>
      </c>
      <c r="I14" s="333"/>
      <c r="J14" s="64">
        <f>IFERROR(AVERAGE(D68:INDEX(D68:H68,0,MATCH('RFPR cover'!$C$9,$D$6:$H$6,0)))/AVERAGE($D$90:INDEX($D$90:$H$90,0,MATCH('RFPR cover'!$C$9,$D$6:$H$6,0))),0)</f>
        <v>2.5465108544690145E-4</v>
      </c>
      <c r="K14" s="64">
        <f t="shared" si="2"/>
        <v>1.6138660330925308E-4</v>
      </c>
      <c r="N14" s="754"/>
      <c r="O14" s="168"/>
    </row>
    <row r="15" spans="1:20">
      <c r="A15" s="334"/>
      <c r="B15" s="163" t="str">
        <f t="shared" si="3"/>
        <v>Broad Measure of Customer Service ODI</v>
      </c>
      <c r="C15" s="162" t="s">
        <v>486</v>
      </c>
      <c r="D15" s="63">
        <f>IFERROR(ODI_2/NPV_neutral_equity_element_of_RAV,0)</f>
        <v>1.2314420069784811E-3</v>
      </c>
      <c r="E15" s="63">
        <f>IFERROR(ODI_2/NPV_neutral_equity_element_of_RAV,0)</f>
        <v>1.9752312674826762E-3</v>
      </c>
      <c r="F15" s="63">
        <f>IFERROR(ODI_2/NPV_neutral_equity_element_of_RAV,0)</f>
        <v>2.5972415185703053E-3</v>
      </c>
      <c r="G15" s="63">
        <f>IFERROR(ODI_2/NPV_neutral_equity_element_of_RAV,0)</f>
        <v>3.1847506674823061E-3</v>
      </c>
      <c r="H15" s="63">
        <f>IFERROR(ODI_2/NPV_neutral_equity_element_of_RAV,0)</f>
        <v>3.6538603643088722E-3</v>
      </c>
      <c r="I15" s="333"/>
      <c r="J15" s="64">
        <f>IFERROR(AVERAGE(D69:INDEX(D69:H69,0,MATCH('RFPR cover'!$C$9,$D$6:$H$6,0)))/AVERAGE($D$90:INDEX($D$90:$H$90,0,MATCH('RFPR cover'!$C$9,$D$6:$H$6,0))),0)</f>
        <v>1.2314420069784811E-3</v>
      </c>
      <c r="K15" s="64">
        <f t="shared" si="2"/>
        <v>2.5745487337418683E-3</v>
      </c>
      <c r="N15" s="754"/>
      <c r="O15" s="168"/>
    </row>
    <row r="16" spans="1:20">
      <c r="A16" s="334"/>
      <c r="B16" s="163" t="str">
        <f t="shared" si="3"/>
        <v>Interruptions incentive scheme ODI</v>
      </c>
      <c r="C16" s="162" t="s">
        <v>486</v>
      </c>
      <c r="D16" s="63">
        <f>IFERROR(ODI_3/NPV_neutral_equity_element_of_RAV,0)</f>
        <v>-2.6602921677811004E-4</v>
      </c>
      <c r="E16" s="63">
        <f>IFERROR(ODI_3/NPV_neutral_equity_element_of_RAV,0)</f>
        <v>1.3917108843858172E-3</v>
      </c>
      <c r="F16" s="63">
        <f>IFERROR(ODI_3/NPV_neutral_equity_element_of_RAV,0)</f>
        <v>1.3270622064486608E-3</v>
      </c>
      <c r="G16" s="63">
        <f>IFERROR(ODI_3/NPV_neutral_equity_element_of_RAV,0)</f>
        <v>1.2793519812389033E-3</v>
      </c>
      <c r="H16" s="63">
        <f>IFERROR(ODI_3/NPV_neutral_equity_element_of_RAV,0)</f>
        <v>1.2340500752186486E-3</v>
      </c>
      <c r="I16" s="333"/>
      <c r="J16" s="64">
        <f>IFERROR(AVERAGE(D70:INDEX(D70:H70,0,MATCH('RFPR cover'!$C$9,$D$6:$H$6,0)))/AVERAGE($D$90:INDEX($D$90:$H$90,0,MATCH('RFPR cover'!$C$9,$D$6:$H$6,0))),0)</f>
        <v>-2.6602921677811004E-4</v>
      </c>
      <c r="K16" s="64">
        <f t="shared" si="2"/>
        <v>1.0143566418465365E-3</v>
      </c>
      <c r="N16" s="754"/>
      <c r="O16" s="168"/>
    </row>
    <row r="17" spans="1:15">
      <c r="A17" s="334"/>
      <c r="B17" s="163" t="str">
        <f t="shared" si="3"/>
        <v>Major connections ODI</v>
      </c>
      <c r="C17" s="162" t="s">
        <v>486</v>
      </c>
      <c r="D17" s="63">
        <f>IFERROR(ODI_4/NPV_neutral_equity_element_of_RAV,0)</f>
        <v>0</v>
      </c>
      <c r="E17" s="63">
        <f>IFERROR(ODI_4/NPV_neutral_equity_element_of_RAV,0)</f>
        <v>0</v>
      </c>
      <c r="F17" s="63">
        <f>IFERROR(ODI_4/NPV_neutral_equity_element_of_RAV,0)</f>
        <v>0</v>
      </c>
      <c r="G17" s="63">
        <f>IFERROR(ODI_4/NPV_neutral_equity_element_of_RAV,0)</f>
        <v>0</v>
      </c>
      <c r="H17" s="63">
        <f>IFERROR(ODI_4/NPV_neutral_equity_element_of_RAV,0)</f>
        <v>0</v>
      </c>
      <c r="I17" s="333"/>
      <c r="J17" s="64">
        <f>IFERROR(AVERAGE(D71:INDEX(D71:H71,0,MATCH('RFPR cover'!$C$9,$D$6:$H$6,0)))/AVERAGE($D$90:INDEX($D$90:$H$90,0,MATCH('RFPR cover'!$C$9,$D$6:$H$6,0))),0)</f>
        <v>0</v>
      </c>
      <c r="K17" s="64">
        <f t="shared" si="2"/>
        <v>0</v>
      </c>
      <c r="N17" s="754"/>
      <c r="O17" s="168"/>
    </row>
    <row r="18" spans="1:15">
      <c r="A18" s="334"/>
      <c r="B18" s="163" t="str">
        <f t="shared" si="3"/>
        <v>Consumer Vulnerability ODI</v>
      </c>
      <c r="C18" s="162" t="s">
        <v>486</v>
      </c>
      <c r="D18" s="63">
        <f>IFERROR(ODI_5/NPV_neutral_equity_element_of_RAV,0)</f>
        <v>0</v>
      </c>
      <c r="E18" s="63">
        <f>IFERROR(ODI_5/NPV_neutral_equity_element_of_RAV,0)</f>
        <v>1.9050093615346445E-3</v>
      </c>
      <c r="F18" s="63">
        <f>IFERROR(ODI_5/NPV_neutral_equity_element_of_RAV,0)</f>
        <v>0</v>
      </c>
      <c r="G18" s="63">
        <f>IFERROR(ODI_5/NPV_neutral_equity_element_of_RAV,0)</f>
        <v>0</v>
      </c>
      <c r="H18" s="63">
        <f>IFERROR(ODI_5/NPV_neutral_equity_element_of_RAV,0)</f>
        <v>5.4689658486937933E-3</v>
      </c>
      <c r="I18" s="333"/>
      <c r="J18" s="64">
        <f>IFERROR(AVERAGE(D72:INDEX(D72:H72,0,MATCH('RFPR cover'!$C$9,$D$6:$H$6,0)))/AVERAGE($D$90:INDEX($D$90:$H$90,0,MATCH('RFPR cover'!$C$9,$D$6:$H$6,0))),0)</f>
        <v>0</v>
      </c>
      <c r="K18" s="64">
        <f t="shared" si="2"/>
        <v>1.5415437076476599E-3</v>
      </c>
      <c r="N18" s="754"/>
      <c r="O18" s="168"/>
    </row>
    <row r="19" spans="1:15">
      <c r="A19" s="334"/>
      <c r="B19" s="163" t="str">
        <f>B73</f>
        <v>Distribution System Operator ODI</v>
      </c>
      <c r="C19" s="162" t="s">
        <v>486</v>
      </c>
      <c r="D19" s="63">
        <f>IFERROR(ODI_6/NPV_neutral_equity_element_of_RAV,0)</f>
        <v>3.6098624495373442E-4</v>
      </c>
      <c r="E19" s="63">
        <f>IFERROR(ODI_6/NPV_neutral_equity_element_of_RAV,0)</f>
        <v>0</v>
      </c>
      <c r="F19" s="63">
        <f>IFERROR(ODI_6/NPV_neutral_equity_element_of_RAV,0)</f>
        <v>0</v>
      </c>
      <c r="G19" s="63">
        <f>IFERROR(ODI_6/NPV_neutral_equity_element_of_RAV,0)</f>
        <v>0</v>
      </c>
      <c r="H19" s="63">
        <f>IFERROR(ODI_6/NPV_neutral_equity_element_of_RAV,0)</f>
        <v>0</v>
      </c>
      <c r="I19" s="333"/>
      <c r="J19" s="64">
        <f>IFERROR(AVERAGE(D73:INDEX(D73:H73,0,MATCH('RFPR cover'!$C$9,$D$6:$H$6,0)))/AVERAGE($D$90:INDEX($D$90:$H$90,0,MATCH('RFPR cover'!$C$9,$D$6:$H$6,0))),0)</f>
        <v>3.6098624495373442E-4</v>
      </c>
      <c r="K19" s="64">
        <f t="shared" si="2"/>
        <v>6.6880716297178022E-5</v>
      </c>
      <c r="N19" s="754"/>
      <c r="O19" s="168"/>
    </row>
    <row r="20" spans="1:15">
      <c r="A20" s="334"/>
      <c r="B20" s="163" t="str">
        <f t="shared" ref="B20" si="4">B74</f>
        <v>Network innovation input for RORE</v>
      </c>
      <c r="C20" s="162" t="s">
        <v>486</v>
      </c>
      <c r="D20" s="63">
        <f>IFERROR(ORA_1/NPV_neutral_equity_element_of_RAV,0)</f>
        <v>-7.9604515420016907E-6</v>
      </c>
      <c r="E20" s="63">
        <f>IFERROR(ORA_1/NPV_neutral_equity_element_of_RAV,0)</f>
        <v>-1.6418854820696537E-4</v>
      </c>
      <c r="F20" s="63">
        <f>IFERROR(ORA_1/NPV_neutral_equity_element_of_RAV,0)</f>
        <v>-3.878829759800183E-4</v>
      </c>
      <c r="G20" s="63">
        <f>IFERROR(ORA_1/NPV_neutral_equity_element_of_RAV,0)</f>
        <v>0</v>
      </c>
      <c r="H20" s="63">
        <f>IFERROR(ORA_1/NPV_neutral_equity_element_of_RAV,0)</f>
        <v>0</v>
      </c>
      <c r="I20" s="333"/>
      <c r="J20" s="64">
        <f>IFERROR(AVERAGE(D74:INDEX(D74:H74,0,MATCH('RFPR cover'!$C$9,$D$6:$H$6,0)))/AVERAGE($D$90:INDEX($D$90:$H$90,0,MATCH('RFPR cover'!$C$9,$D$6:$H$6,0))),0)</f>
        <v>-7.9604515420016907E-6</v>
      </c>
      <c r="K20" s="64">
        <f t="shared" si="2"/>
        <v>-1.1058319493581022E-4</v>
      </c>
      <c r="N20" s="754"/>
      <c r="O20" s="168"/>
    </row>
    <row r="21" spans="1:15">
      <c r="A21" s="334"/>
      <c r="B21" s="163" t="str">
        <f t="shared" ref="B21" si="5">B75</f>
        <v>Carry-over Network innovation input for RORE</v>
      </c>
      <c r="C21" s="162" t="s">
        <v>486</v>
      </c>
      <c r="D21" s="63">
        <f>IFERROR(ORA_2/NPV_neutral_equity_element_of_RAV,0)</f>
        <v>0</v>
      </c>
      <c r="E21" s="63">
        <f>IFERROR(ORA_2/NPV_neutral_equity_element_of_RAV,0)</f>
        <v>0</v>
      </c>
      <c r="F21" s="63">
        <f>IFERROR(ORA_2/NPV_neutral_equity_element_of_RAV,0)</f>
        <v>0</v>
      </c>
      <c r="G21" s="63">
        <f>IFERROR(ORA_2/NPV_neutral_equity_element_of_RAV,0)</f>
        <v>0</v>
      </c>
      <c r="H21" s="63">
        <f>IFERROR(ORA_2/NPV_neutral_equity_element_of_RAV,0)</f>
        <v>0</v>
      </c>
      <c r="I21" s="333"/>
      <c r="J21" s="64">
        <f>IFERROR(AVERAGE(D75:INDEX(D75:H75,0,MATCH('RFPR cover'!$C$9,$D$6:$H$6,0)))/AVERAGE($D$90:INDEX($D$90:$H$90,0,MATCH('RFPR cover'!$C$9,$D$6:$H$6,0))),0)</f>
        <v>0</v>
      </c>
      <c r="K21" s="64">
        <f t="shared" si="2"/>
        <v>0</v>
      </c>
      <c r="N21" s="754"/>
      <c r="O21" s="168"/>
    </row>
    <row r="22" spans="1:15">
      <c r="A22" s="334"/>
      <c r="B22" s="163" t="str">
        <f t="shared" ref="B22:B27" si="6">B76</f>
        <v>Strategic innovation input for RORE</v>
      </c>
      <c r="C22" s="162" t="s">
        <v>486</v>
      </c>
      <c r="D22" s="63">
        <f>IFERROR(ORA_3/NPV_neutral_equity_element_of_RAV,0)</f>
        <v>-2.2908283338378332E-5</v>
      </c>
      <c r="E22" s="63">
        <f>IFERROR(ORA_3/NPV_neutral_equity_element_of_RAV,0)</f>
        <v>0</v>
      </c>
      <c r="F22" s="63">
        <f>IFERROR(ORA_3/NPV_neutral_equity_element_of_RAV,0)</f>
        <v>0</v>
      </c>
      <c r="G22" s="63">
        <f>IFERROR(ORA_3/NPV_neutral_equity_element_of_RAV,0)</f>
        <v>0</v>
      </c>
      <c r="H22" s="63">
        <f>IFERROR(ORA_3/NPV_neutral_equity_element_of_RAV,0)</f>
        <v>0</v>
      </c>
      <c r="I22" s="333"/>
      <c r="J22" s="64">
        <f>IFERROR(AVERAGE(D76:INDEX(D76:H76,0,MATCH('RFPR cover'!$C$9,$D$6:$H$6,0)))/AVERAGE($D$90:INDEX($D$90:$H$90,0,MATCH('RFPR cover'!$C$9,$D$6:$H$6,0))),0)</f>
        <v>-2.2908283338378332E-5</v>
      </c>
      <c r="K22" s="64">
        <f>IFERROR(AVERAGE(D76:H76)/AVERAGE($D$90:$H$90),0)</f>
        <v>-4.2442680856325002E-6</v>
      </c>
      <c r="N22" s="754"/>
      <c r="O22" s="168"/>
    </row>
    <row r="23" spans="1:15">
      <c r="A23" s="334"/>
      <c r="B23" s="163" t="str">
        <f t="shared" si="6"/>
        <v/>
      </c>
      <c r="C23" s="162" t="s">
        <v>486</v>
      </c>
      <c r="D23" s="63">
        <f>IFERROR(ORA_4/NPV_neutral_equity_element_of_RAV,0)</f>
        <v>0</v>
      </c>
      <c r="E23" s="63">
        <f>IFERROR(ORA_4/NPV_neutral_equity_element_of_RAV,0)</f>
        <v>0</v>
      </c>
      <c r="F23" s="63">
        <f>IFERROR(ORA_4/NPV_neutral_equity_element_of_RAV,0)</f>
        <v>0</v>
      </c>
      <c r="G23" s="63">
        <f>IFERROR(ORA_4/NPV_neutral_equity_element_of_RAV,0)</f>
        <v>0</v>
      </c>
      <c r="H23" s="63">
        <f>IFERROR(ORA_4/NPV_neutral_equity_element_of_RAV,0)</f>
        <v>0</v>
      </c>
      <c r="I23" s="333"/>
      <c r="J23" s="64">
        <f>IFERROR(AVERAGE(D77:INDEX(D77:H77,0,MATCH('RFPR cover'!$C$9,$D$6:$H$6,0)))/AVERAGE($D$90:INDEX($D$90:$H$90,0,MATCH('RFPR cover'!$C$9,$D$6:$H$6,0))),0)</f>
        <v>0</v>
      </c>
      <c r="K23" s="64">
        <f t="shared" ref="K23:K28" si="7">IFERROR(AVERAGE(D77:H77)/AVERAGE($D$90:$H$90),0)</f>
        <v>0</v>
      </c>
      <c r="N23" s="754"/>
      <c r="O23" s="168"/>
    </row>
    <row r="24" spans="1:15">
      <c r="A24" s="334"/>
      <c r="B24" s="163" t="str">
        <f t="shared" si="6"/>
        <v/>
      </c>
      <c r="C24" s="162" t="s">
        <v>486</v>
      </c>
      <c r="D24" s="63">
        <f>IFERROR(ORA_5/NPV_neutral_equity_element_of_RAV,0)</f>
        <v>0</v>
      </c>
      <c r="E24" s="63">
        <f>IFERROR(ORA_5/NPV_neutral_equity_element_of_RAV,0)</f>
        <v>0</v>
      </c>
      <c r="F24" s="63">
        <f>IFERROR(ORA_5/NPV_neutral_equity_element_of_RAV,0)</f>
        <v>0</v>
      </c>
      <c r="G24" s="63">
        <f>IFERROR(ORA_5/NPV_neutral_equity_element_of_RAV,0)</f>
        <v>0</v>
      </c>
      <c r="H24" s="63">
        <f>IFERROR(ORA_5/NPV_neutral_equity_element_of_RAV,0)</f>
        <v>0</v>
      </c>
      <c r="I24" s="333"/>
      <c r="J24" s="64">
        <f>IFERROR(AVERAGE(D78:INDEX(D78:H78,0,MATCH('RFPR cover'!$C$9,$D$6:$H$6,0)))/AVERAGE($D$90:INDEX($D$90:$H$90,0,MATCH('RFPR cover'!$C$9,$D$6:$H$6,0))),0)</f>
        <v>0</v>
      </c>
      <c r="K24" s="64">
        <f t="shared" si="7"/>
        <v>0</v>
      </c>
      <c r="N24" s="754"/>
      <c r="O24" s="168"/>
    </row>
    <row r="25" spans="1:15">
      <c r="A25" s="334"/>
      <c r="B25" s="163" t="str">
        <f t="shared" si="6"/>
        <v/>
      </c>
      <c r="C25" s="162" t="s">
        <v>486</v>
      </c>
      <c r="D25" s="63">
        <f>IFERROR(ORA_6/NPV_neutral_equity_element_of_RAV,0)</f>
        <v>0</v>
      </c>
      <c r="E25" s="63">
        <f>IFERROR(ORA_6/NPV_neutral_equity_element_of_RAV,0)</f>
        <v>0</v>
      </c>
      <c r="F25" s="63">
        <f>IFERROR(ORA_6/NPV_neutral_equity_element_of_RAV,0)</f>
        <v>0</v>
      </c>
      <c r="G25" s="63">
        <f>IFERROR(ORA_6/NPV_neutral_equity_element_of_RAV,0)</f>
        <v>0</v>
      </c>
      <c r="H25" s="63">
        <f>IFERROR(ORA_6/NPV_neutral_equity_element_of_RAV,0)</f>
        <v>0</v>
      </c>
      <c r="I25" s="333"/>
      <c r="J25" s="64">
        <f>IFERROR(AVERAGE(D79:INDEX(D79:H79,0,MATCH('RFPR cover'!$C$9,$D$6:$H$6,0)))/AVERAGE($D$90:INDEX($D$90:$H$90,0,MATCH('RFPR cover'!$C$9,$D$6:$H$6,0))),0)</f>
        <v>0</v>
      </c>
      <c r="K25" s="64">
        <f t="shared" si="7"/>
        <v>0</v>
      </c>
      <c r="N25" s="754"/>
      <c r="O25" s="168"/>
    </row>
    <row r="26" spans="1:15">
      <c r="A26" s="334"/>
      <c r="B26" s="163" t="str">
        <f t="shared" si="6"/>
        <v/>
      </c>
      <c r="C26" s="162" t="s">
        <v>486</v>
      </c>
      <c r="D26" s="63">
        <f>IFERROR(ORA_7/NPV_neutral_equity_element_of_RAV,0)</f>
        <v>0</v>
      </c>
      <c r="E26" s="63">
        <f>IFERROR(ORA_7/NPV_neutral_equity_element_of_RAV,0)</f>
        <v>0</v>
      </c>
      <c r="F26" s="63">
        <f>IFERROR(ORA_7/NPV_neutral_equity_element_of_RAV,0)</f>
        <v>0</v>
      </c>
      <c r="G26" s="63">
        <f>IFERROR(ORA_7/NPV_neutral_equity_element_of_RAV,0)</f>
        <v>0</v>
      </c>
      <c r="H26" s="63">
        <f>IFERROR(ORA_7/NPV_neutral_equity_element_of_RAV,0)</f>
        <v>0</v>
      </c>
      <c r="I26" s="333"/>
      <c r="J26" s="64">
        <f>IFERROR(AVERAGE(D80:INDEX(D80:H80,0,MATCH('RFPR cover'!$C$9,$D$6:$H$6,0)))/AVERAGE($D$90:INDEX($D$90:$H$90,0,MATCH('RFPR cover'!$C$9,$D$6:$H$6,0))),0)</f>
        <v>0</v>
      </c>
      <c r="K26" s="64">
        <f t="shared" si="7"/>
        <v>0</v>
      </c>
      <c r="N26" s="754"/>
      <c r="O26" s="168"/>
    </row>
    <row r="27" spans="1:15">
      <c r="A27" s="334"/>
      <c r="B27" s="163" t="str">
        <f t="shared" si="6"/>
        <v/>
      </c>
      <c r="C27" s="162" t="s">
        <v>486</v>
      </c>
      <c r="D27" s="63">
        <f>IFERROR(ORA_8/NPV_neutral_equity_element_of_RAV,0)</f>
        <v>0</v>
      </c>
      <c r="E27" s="63">
        <f>IFERROR(ORA_8/NPV_neutral_equity_element_of_RAV,0)</f>
        <v>0</v>
      </c>
      <c r="F27" s="63">
        <f>IFERROR(ORA_8/NPV_neutral_equity_element_of_RAV,0)</f>
        <v>0</v>
      </c>
      <c r="G27" s="63">
        <f>IFERROR(ORA_8/NPV_neutral_equity_element_of_RAV,0)</f>
        <v>0</v>
      </c>
      <c r="H27" s="63">
        <f>IFERROR(ORA_8/NPV_neutral_equity_element_of_RAV,0)</f>
        <v>0</v>
      </c>
      <c r="I27" s="333"/>
      <c r="J27" s="64">
        <f>IFERROR(AVERAGE(D81:INDEX(D81:H81,0,MATCH('RFPR cover'!$C$9,$D$6:$H$6,0)))/AVERAGE($D$90:INDEX($D$90:$H$90,0,MATCH('RFPR cover'!$C$9,$D$6:$H$6,0))),0)</f>
        <v>0</v>
      </c>
      <c r="K27" s="64">
        <f t="shared" si="7"/>
        <v>0</v>
      </c>
      <c r="N27" s="754"/>
      <c r="O27" s="168"/>
    </row>
    <row r="28" spans="1:15" ht="13.5" thickBot="1">
      <c r="B28" s="163" t="str">
        <f t="shared" ref="B28:B30" si="8">B82</f>
        <v>Penalties and fines (Other Activities)</v>
      </c>
      <c r="C28" s="162" t="s">
        <v>486</v>
      </c>
      <c r="D28" s="335">
        <f>IFERROR(Penalties_and_fines/NPV_neutral_equity_element_of_RAV,0)</f>
        <v>-4.2863310443051399E-5</v>
      </c>
      <c r="E28" s="335">
        <f>IFERROR(Penalties_and_fines/NPV_neutral_equity_element_of_RAV,0)</f>
        <v>0</v>
      </c>
      <c r="F28" s="335">
        <f>IFERROR(Penalties_and_fines/NPV_neutral_equity_element_of_RAV,0)</f>
        <v>0</v>
      </c>
      <c r="G28" s="335">
        <f>IFERROR(Penalties_and_fines/NPV_neutral_equity_element_of_RAV,0)</f>
        <v>0</v>
      </c>
      <c r="H28" s="335">
        <f>IFERROR(Penalties_and_fines/NPV_neutral_equity_element_of_RAV,0)</f>
        <v>0</v>
      </c>
      <c r="I28" s="333"/>
      <c r="J28" s="64">
        <f>IFERROR(AVERAGE(D82:INDEX(D82:H82,0,MATCH('RFPR cover'!$C$9,$D$6:$H$6,0)))/AVERAGE($D$90:INDEX($D$90:$H$90,0,MATCH('RFPR cover'!$C$9,$D$6:$H$6,0))),0)</f>
        <v>-4.2863310443051399E-5</v>
      </c>
      <c r="K28" s="64">
        <f t="shared" si="7"/>
        <v>-7.9413798873887859E-6</v>
      </c>
      <c r="N28" s="754"/>
      <c r="O28" s="168"/>
    </row>
    <row r="29" spans="1:15" ht="13.5" thickBot="1">
      <c r="B29" s="164" t="str">
        <f t="shared" si="8"/>
        <v>RoRE - Operational performance</v>
      </c>
      <c r="C29" s="61" t="s">
        <v>486</v>
      </c>
      <c r="D29" s="151">
        <f>SUM(D11:D28)</f>
        <v>5.4341262075277584E-2</v>
      </c>
      <c r="E29" s="152">
        <f t="shared" ref="E29:H29" si="9">SUM(E11:E28)</f>
        <v>6.1132327181713519E-2</v>
      </c>
      <c r="F29" s="152">
        <f t="shared" si="9"/>
        <v>5.8854437213267052E-2</v>
      </c>
      <c r="G29" s="152">
        <f t="shared" si="9"/>
        <v>5.9921741015368096E-2</v>
      </c>
      <c r="H29" s="153">
        <f t="shared" si="9"/>
        <v>6.5978803533318989E-2</v>
      </c>
      <c r="I29" s="336"/>
      <c r="J29" s="155">
        <f>SUM(J11:J28)</f>
        <v>5.4341262075277584E-2</v>
      </c>
      <c r="K29" s="153">
        <f>SUM(K11:K28)</f>
        <v>6.0209232328618377E-2</v>
      </c>
      <c r="N29" s="754"/>
      <c r="O29" s="168"/>
    </row>
    <row r="30" spans="1:15">
      <c r="B30" s="163" t="str">
        <f t="shared" si="8"/>
        <v>Debt performance - at notional gearing</v>
      </c>
      <c r="C30" s="162" t="s">
        <v>486</v>
      </c>
      <c r="D30" s="337">
        <f>IFERROR(Debt_performance___at_notional_gearing/NPV_neutral_equity_element_of_RAV,0)</f>
        <v>7.2300082232889917E-2</v>
      </c>
      <c r="E30" s="337">
        <f>IFERROR(Debt_performance___at_notional_gearing/NPV_neutral_equity_element_of_RAV,0)</f>
        <v>6.7432697539780177E-3</v>
      </c>
      <c r="F30" s="337">
        <f>IFERROR(Debt_performance___at_notional_gearing/NPV_neutral_equity_element_of_RAV,0)</f>
        <v>-5.8569540073511867E-3</v>
      </c>
      <c r="G30" s="337">
        <f>IFERROR(Debt_performance___at_notional_gearing/NPV_neutral_equity_element_of_RAV,0)</f>
        <v>1.0477091516689684E-3</v>
      </c>
      <c r="H30" s="337">
        <f>IFERROR(Debt_performance___at_notional_gearing/NPV_neutral_equity_element_of_RAV,0)</f>
        <v>9.5787153847480162E-3</v>
      </c>
      <c r="I30" s="333"/>
      <c r="J30" s="154">
        <f>IFERROR(AVERAGE(D84:INDEX(D84:H84,0,MATCH('RFPR cover'!$C$9,$D$6:$H$6,0)))/AVERAGE($D$90:INDEX($D$90:$H$90,0,MATCH('RFPR cover'!$C$9,$D$6:$H$6,0))),0)</f>
        <v>7.2300082232889917E-2</v>
      </c>
      <c r="K30" s="154">
        <f>IFERROR(AVERAGE(D84:H84)/AVERAGE($D$90:$H$90),0)</f>
        <v>1.579246474847509E-2</v>
      </c>
      <c r="N30" s="754"/>
      <c r="O30" s="168"/>
    </row>
    <row r="31" spans="1:15" ht="13.5" thickBot="1">
      <c r="B31" s="163" t="str">
        <f>B86</f>
        <v>Tax performance - at notional gearing</v>
      </c>
      <c r="C31" s="162" t="s">
        <v>486</v>
      </c>
      <c r="D31" s="335">
        <f>IFERROR(Tax_performance___at_notional_gearing/NPV_neutral_equity_element_of_RAV,0)</f>
        <v>-4.1125125141732548E-3</v>
      </c>
      <c r="E31" s="335">
        <f>IFERROR(Tax_performance___at_notional_gearing/NPV_neutral_equity_element_of_RAV,0)</f>
        <v>1.43923109922594E-3</v>
      </c>
      <c r="F31" s="335">
        <f>IFERROR(Tax_performance___at_notional_gearing/NPV_neutral_equity_element_of_RAV,0)</f>
        <v>6.1045513947519028E-4</v>
      </c>
      <c r="G31" s="335">
        <f>IFERROR(Tax_performance___at_notional_gearing/NPV_neutral_equity_element_of_RAV,0)</f>
        <v>-8.5081466503092202E-4</v>
      </c>
      <c r="H31" s="335">
        <f>IFERROR(Tax_performance___at_notional_gearing/NPV_neutral_equity_element_of_RAV,0)</f>
        <v>5.1167227713570242E-4</v>
      </c>
      <c r="I31" s="333"/>
      <c r="J31" s="33">
        <f>IFERROR(AVERAGE(D86:INDEX(D86:H86,0,MATCH('RFPR cover'!$C$9,$D$6:$H$6,0)))/AVERAGE($D$90:INDEX($D$90:$H$90,0,MATCH('RFPR cover'!$C$9,$D$6:$H$6,0))),0)</f>
        <v>-4.1125125141732548E-3</v>
      </c>
      <c r="K31" s="33">
        <f>IFERROR(AVERAGE(D86:H86)/AVERAGE($D$90:$H$90),0)</f>
        <v>-4.3083768774331558E-4</v>
      </c>
      <c r="N31" s="754"/>
      <c r="O31" s="168"/>
    </row>
    <row r="32" spans="1:15" ht="13.5" thickBot="1">
      <c r="B32" s="164" t="str">
        <f>B88</f>
        <v>RoRE - including financing and tax</v>
      </c>
      <c r="C32" s="61" t="s">
        <v>486</v>
      </c>
      <c r="D32" s="151">
        <f>SUM(D29:D31)</f>
        <v>0.12252883179399425</v>
      </c>
      <c r="E32" s="152">
        <f t="shared" ref="E32:H32" si="10">SUM(E29:E31)</f>
        <v>6.9314828034917481E-2</v>
      </c>
      <c r="F32" s="152">
        <f t="shared" si="10"/>
        <v>5.3607938345391057E-2</v>
      </c>
      <c r="G32" s="152">
        <f t="shared" si="10"/>
        <v>6.0118635502006142E-2</v>
      </c>
      <c r="H32" s="153">
        <f t="shared" si="10"/>
        <v>7.6069191195202709E-2</v>
      </c>
      <c r="I32" s="336"/>
      <c r="J32" s="155">
        <f>SUM(J29:J31)</f>
        <v>0.12252883179399425</v>
      </c>
      <c r="K32" s="153">
        <f>SUM(K29:K31)</f>
        <v>7.5570859389350153E-2</v>
      </c>
      <c r="N32" s="754"/>
      <c r="O32" s="168"/>
    </row>
    <row r="36" spans="1:13">
      <c r="B36" s="330" t="s">
        <v>487</v>
      </c>
      <c r="C36" s="38"/>
      <c r="D36" s="38"/>
      <c r="E36" s="38"/>
      <c r="F36" s="38"/>
      <c r="G36" s="38"/>
      <c r="H36" s="38"/>
      <c r="I36" s="331"/>
      <c r="J36" s="38"/>
      <c r="K36" s="38"/>
      <c r="L36" s="38"/>
    </row>
    <row r="37" spans="1:13">
      <c r="B37" s="332"/>
      <c r="I37" s="10"/>
    </row>
    <row r="38" spans="1:13">
      <c r="B38" s="163" t="s">
        <v>485</v>
      </c>
      <c r="C38" s="162" t="s">
        <v>486</v>
      </c>
      <c r="D38" s="63">
        <f>IFERROR(Equity_Return_on_the_RAV/Equity_RAV_based_on_actual_gearing,0)</f>
        <v>5.0551241880853713E-2</v>
      </c>
      <c r="E38" s="63">
        <f>IFERROR(Equity_Return_on_the_RAV/Equity_RAV_based_on_actual_gearing,0)</f>
        <v>5.679360244530797E-2</v>
      </c>
      <c r="F38" s="63">
        <f>IFERROR(Equity_Return_on_the_RAV/Equity_RAV_based_on_actual_gearing,0)</f>
        <v>5.4808751340791516E-2</v>
      </c>
      <c r="G38" s="63">
        <f>IFERROR(Equity_Return_on_the_RAV/Equity_RAV_based_on_actual_gearing,0)</f>
        <v>5.5364571726877532E-2</v>
      </c>
      <c r="H38" s="63">
        <f>IFERROR(Equity_Return_on_the_RAV/Equity_RAV_based_on_actual_gearing,0)</f>
        <v>5.554989653516073E-2</v>
      </c>
      <c r="I38" s="333"/>
      <c r="J38" s="30">
        <f>IFERROR(AVERAGE(D65:INDEX(D65:H65,0,MATCH('RFPR cover'!$C$9,$D$6:$H$6,0)))/AVERAGE($D$91:INDEX($D$91:$H$91,0,MATCH('RFPR cover'!$C$9,$D$6:$H$6,0))),0)</f>
        <v>5.0551241880853713E-2</v>
      </c>
      <c r="K38" s="64">
        <f t="shared" ref="K38:K48" si="11">IFERROR(AVERAGE(D65:H65)/AVERAGE($D$91:$H$91),0)</f>
        <v>5.4634069545826378E-2</v>
      </c>
      <c r="M38" s="338"/>
    </row>
    <row r="39" spans="1:13">
      <c r="B39" s="163" t="str">
        <f t="shared" ref="B39:B46" si="12">B66</f>
        <v>Totex outperformance</v>
      </c>
      <c r="C39" s="162" t="s">
        <v>486</v>
      </c>
      <c r="D39" s="63">
        <f>IFERROR(Totex_outperformance/Equity_RAV_based_on_actual_gearing,0)</f>
        <v>0</v>
      </c>
      <c r="E39" s="63">
        <f>IFERROR(Totex_outperformance/Equity_RAV_based_on_actual_gearing,0)</f>
        <v>0</v>
      </c>
      <c r="F39" s="63">
        <f>IFERROR(Totex_outperformance/Equity_RAV_based_on_actual_gearing,0)</f>
        <v>0</v>
      </c>
      <c r="G39" s="63">
        <f>IFERROR(Totex_outperformance/Equity_RAV_based_on_actual_gearing,0)</f>
        <v>0</v>
      </c>
      <c r="H39" s="63">
        <f>IFERROR(Totex_outperformance/Equity_RAV_based_on_actual_gearing,0)</f>
        <v>0</v>
      </c>
      <c r="I39" s="333"/>
      <c r="J39" s="30">
        <f>IFERROR(AVERAGE(D66:INDEX(D66:H66,0,MATCH('RFPR cover'!$C$9,$D$6:$H$6,0)))/AVERAGE($D$91:INDEX($D$91:$H$91,0,MATCH('RFPR cover'!$C$9,$D$6:$H$6,0))),0)</f>
        <v>0</v>
      </c>
      <c r="K39" s="64">
        <f t="shared" si="11"/>
        <v>0</v>
      </c>
    </row>
    <row r="40" spans="1:13">
      <c r="A40" s="334"/>
      <c r="B40" s="163" t="str">
        <f t="shared" si="12"/>
        <v>Business Plan Incentive</v>
      </c>
      <c r="C40" s="162" t="s">
        <v>486</v>
      </c>
      <c r="D40" s="63">
        <f>IFERROR(Business_Plan_Incentive/Equity_RAV_based_on_actual_gearing,0)</f>
        <v>0</v>
      </c>
      <c r="E40" s="63">
        <f>IFERROR(Business_Plan_Incentive/Equity_RAV_based_on_actual_gearing,0)</f>
        <v>0</v>
      </c>
      <c r="F40" s="63">
        <f>IFERROR(Business_Plan_Incentive/Equity_RAV_based_on_actual_gearing,0)</f>
        <v>0</v>
      </c>
      <c r="G40" s="63">
        <f>IFERROR(Business_Plan_Incentive/Equity_RAV_based_on_actual_gearing,0)</f>
        <v>0</v>
      </c>
      <c r="H40" s="63">
        <f>IFERROR(Business_Plan_Incentive/Equity_RAV_based_on_actual_gearing,0)</f>
        <v>0</v>
      </c>
      <c r="I40" s="333"/>
      <c r="J40" s="30">
        <f>IFERROR(AVERAGE(D67:INDEX(D67:H67,0,MATCH('RFPR cover'!$C$9,$D$6:$H$6,0)))/AVERAGE($D$91:INDEX($D$91:$H$91,0,MATCH('RFPR cover'!$C$9,$D$6:$H$6,0))),0)</f>
        <v>0</v>
      </c>
      <c r="K40" s="64">
        <f t="shared" si="11"/>
        <v>0</v>
      </c>
    </row>
    <row r="41" spans="1:13">
      <c r="A41" s="334"/>
      <c r="B41" s="163" t="str">
        <f t="shared" si="12"/>
        <v>Time to connect ODI</v>
      </c>
      <c r="C41" s="162" t="s">
        <v>486</v>
      </c>
      <c r="D41" s="63">
        <f>IFERROR(ODI_1/Equity_RAV_based_on_actual_gearing,0)</f>
        <v>2.4364882954125595E-4</v>
      </c>
      <c r="E41" s="63">
        <f>IFERROR(ODI_1/Equity_RAV_based_on_actual_gearing,0)</f>
        <v>1.5155632698367051E-4</v>
      </c>
      <c r="F41" s="63">
        <f>IFERROR(ODI_1/Equity_RAV_based_on_actual_gearing,0)</f>
        <v>1.4164186692555101E-4</v>
      </c>
      <c r="G41" s="63">
        <f>IFERROR(ODI_1/Equity_RAV_based_on_actual_gearing,0)</f>
        <v>1.3748740392550155E-4</v>
      </c>
      <c r="H41" s="63">
        <f>IFERROR(ODI_1/Equity_RAV_based_on_actual_gearing,0)</f>
        <v>1.328383094293585E-4</v>
      </c>
      <c r="I41" s="333"/>
      <c r="J41" s="30">
        <f>IFERROR(AVERAGE(D68:INDEX(D68:H68,0,MATCH('RFPR cover'!$C$9,$D$6:$H$6,0)))/AVERAGE($D$91:INDEX($D$91:$H$91,0,MATCH('RFPR cover'!$C$9,$D$6:$H$6,0))),0)</f>
        <v>2.4364882954125595E-4</v>
      </c>
      <c r="K41" s="64">
        <f t="shared" si="11"/>
        <v>1.6039075973108143E-4</v>
      </c>
    </row>
    <row r="42" spans="1:13">
      <c r="A42" s="334"/>
      <c r="B42" s="163" t="str">
        <f t="shared" si="12"/>
        <v>Broad Measure of Customer Service ODI</v>
      </c>
      <c r="C42" s="162" t="s">
        <v>486</v>
      </c>
      <c r="D42" s="63">
        <f>IFERROR(ODI_2/Equity_RAV_based_on_actual_gearing,0)</f>
        <v>1.1782372854279655E-3</v>
      </c>
      <c r="E42" s="63">
        <f>IFERROR(ODI_2/Equity_RAV_based_on_actual_gearing,0)</f>
        <v>2.0076882294719246E-3</v>
      </c>
      <c r="F42" s="63">
        <f>IFERROR(ODI_2/Equity_RAV_based_on_actual_gearing,0)</f>
        <v>2.5799812036488559E-3</v>
      </c>
      <c r="G42" s="63">
        <f>IFERROR(ODI_2/Equity_RAV_based_on_actual_gearing,0)</f>
        <v>3.1873016065857899E-3</v>
      </c>
      <c r="H42" s="63">
        <f>IFERROR(ODI_2/Equity_RAV_based_on_actual_gearing,0)</f>
        <v>3.6578548767006317E-3</v>
      </c>
      <c r="I42" s="333"/>
      <c r="J42" s="30">
        <f>IFERROR(AVERAGE(D69:INDEX(D69:H69,0,MATCH('RFPR cover'!$C$9,$D$6:$H$6,0)))/AVERAGE($D$91:INDEX($D$91:$H$91,0,MATCH('RFPR cover'!$C$9,$D$6:$H$6,0))),0)</f>
        <v>1.1782372854279655E-3</v>
      </c>
      <c r="K42" s="64">
        <f t="shared" si="11"/>
        <v>2.558662360457997E-3</v>
      </c>
    </row>
    <row r="43" spans="1:13">
      <c r="A43" s="334"/>
      <c r="B43" s="163" t="str">
        <f t="shared" si="12"/>
        <v>Interruptions incentive scheme ODI</v>
      </c>
      <c r="C43" s="162" t="s">
        <v>486</v>
      </c>
      <c r="D43" s="63">
        <f>IFERROR(ODI_3/Equity_RAV_based_on_actual_gearing,0)</f>
        <v>-2.5453536621692122E-4</v>
      </c>
      <c r="E43" s="63">
        <f>IFERROR(ODI_3/Equity_RAV_based_on_actual_gearing,0)</f>
        <v>1.414579450724432E-3</v>
      </c>
      <c r="F43" s="63">
        <f>IFERROR(ODI_3/Equity_RAV_based_on_actual_gearing,0)</f>
        <v>1.3182430375574036E-3</v>
      </c>
      <c r="G43" s="63">
        <f>IFERROR(ODI_3/Equity_RAV_based_on_actual_gearing,0)</f>
        <v>1.280376723624354E-3</v>
      </c>
      <c r="H43" s="63">
        <f>IFERROR(ODI_3/Equity_RAV_based_on_actual_gearing,0)</f>
        <v>1.2353991766691755E-3</v>
      </c>
      <c r="I43" s="333"/>
      <c r="J43" s="30">
        <f>IFERROR(AVERAGE(D70:INDEX(D70:H70,0,MATCH('RFPR cover'!$C$9,$D$6:$H$6,0)))/AVERAGE($D$91:INDEX($D$91:$H$91,0,MATCH('RFPR cover'!$C$9,$D$6:$H$6,0))),0)</f>
        <v>-2.5453536621692122E-4</v>
      </c>
      <c r="K43" s="64">
        <f t="shared" si="11"/>
        <v>1.0080975067817569E-3</v>
      </c>
    </row>
    <row r="44" spans="1:13">
      <c r="A44" s="334"/>
      <c r="B44" s="163" t="str">
        <f t="shared" si="12"/>
        <v>Major connections ODI</v>
      </c>
      <c r="C44" s="162" t="s">
        <v>486</v>
      </c>
      <c r="D44" s="63">
        <f>IFERROR(ODI_4/Equity_RAV_based_on_actual_gearing,0)</f>
        <v>0</v>
      </c>
      <c r="E44" s="63">
        <f>IFERROR(ODI_4/Equity_RAV_based_on_actual_gearing,0)</f>
        <v>0</v>
      </c>
      <c r="F44" s="63">
        <f>IFERROR(ODI_4/Equity_RAV_based_on_actual_gearing,0)</f>
        <v>0</v>
      </c>
      <c r="G44" s="63">
        <f>IFERROR(ODI_4/Equity_RAV_based_on_actual_gearing,0)</f>
        <v>0</v>
      </c>
      <c r="H44" s="63">
        <f>IFERROR(ODI_4/Equity_RAV_based_on_actual_gearing,0)</f>
        <v>0</v>
      </c>
      <c r="I44" s="333"/>
      <c r="J44" s="30">
        <f>IFERROR(AVERAGE(D71:INDEX(D71:H71,0,MATCH('RFPR cover'!$C$9,$D$6:$H$6,0)))/AVERAGE($D$91:INDEX($D$91:$H$91,0,MATCH('RFPR cover'!$C$9,$D$6:$H$6,0))),0)</f>
        <v>0</v>
      </c>
      <c r="K44" s="64">
        <f t="shared" si="11"/>
        <v>0</v>
      </c>
    </row>
    <row r="45" spans="1:13">
      <c r="A45" s="334"/>
      <c r="B45" s="163" t="str">
        <f t="shared" si="12"/>
        <v>Consumer Vulnerability ODI</v>
      </c>
      <c r="C45" s="162" t="s">
        <v>486</v>
      </c>
      <c r="D45" s="63">
        <f>IFERROR(ODI_5/Equity_RAV_based_on_actual_gearing,0)</f>
        <v>0</v>
      </c>
      <c r="E45" s="63">
        <f>IFERROR(ODI_5/Equity_RAV_based_on_actual_gearing,0)</f>
        <v>1.9363124385233415E-3</v>
      </c>
      <c r="F45" s="63">
        <f>IFERROR(ODI_5/Equity_RAV_based_on_actual_gearing,0)</f>
        <v>0</v>
      </c>
      <c r="G45" s="63">
        <f>IFERROR(ODI_5/Equity_RAV_based_on_actual_gearing,0)</f>
        <v>0</v>
      </c>
      <c r="H45" s="63">
        <f>IFERROR(ODI_5/Equity_RAV_based_on_actual_gearing,0)</f>
        <v>5.4749446901585916E-3</v>
      </c>
      <c r="I45" s="333"/>
      <c r="J45" s="30">
        <f>IFERROR(AVERAGE(D72:INDEX(D72:H72,0,MATCH('RFPR cover'!$C$9,$D$6:$H$6,0)))/AVERAGE($D$91:INDEX($D$91:$H$91,0,MATCH('RFPR cover'!$C$9,$D$6:$H$6,0))),0)</f>
        <v>0</v>
      </c>
      <c r="K45" s="64">
        <f t="shared" si="11"/>
        <v>1.5320315401551067E-3</v>
      </c>
    </row>
    <row r="46" spans="1:13">
      <c r="A46" s="334"/>
      <c r="B46" s="163" t="str">
        <f t="shared" si="12"/>
        <v>Distribution System Operator ODI</v>
      </c>
      <c r="C46" s="162" t="s">
        <v>486</v>
      </c>
      <c r="D46" s="63">
        <f>IFERROR(ODI_6/Equity_RAV_based_on_actual_gearing,0)</f>
        <v>3.4538975519823656E-4</v>
      </c>
      <c r="E46" s="63">
        <f>IFERROR(ODI_6/Equity_RAV_based_on_actual_gearing,0)</f>
        <v>0</v>
      </c>
      <c r="F46" s="63">
        <f>IFERROR(ODI_6/Equity_RAV_based_on_actual_gearing,0)</f>
        <v>0</v>
      </c>
      <c r="G46" s="63">
        <f>IFERROR(ODI_6/Equity_RAV_based_on_actual_gearing,0)</f>
        <v>0</v>
      </c>
      <c r="H46" s="63">
        <f>IFERROR(ODI_6/Equity_RAV_based_on_actual_gearing,0)</f>
        <v>0</v>
      </c>
      <c r="I46" s="333"/>
      <c r="J46" s="30">
        <f>IFERROR(AVERAGE(D73:INDEX(D73:H73,0,MATCH('RFPR cover'!$C$9,$D$6:$H$6,0)))/AVERAGE($D$91:INDEX($D$91:$H$91,0,MATCH('RFPR cover'!$C$9,$D$6:$H$6,0))),0)</f>
        <v>3.4538975519823656E-4</v>
      </c>
      <c r="K46" s="64">
        <f t="shared" si="11"/>
        <v>6.6468025711575706E-5</v>
      </c>
    </row>
    <row r="47" spans="1:13">
      <c r="A47" s="334"/>
      <c r="B47" s="163" t="str">
        <f t="shared" ref="B47" si="13">B74</f>
        <v>Network innovation input for RORE</v>
      </c>
      <c r="C47" s="162" t="s">
        <v>486</v>
      </c>
      <c r="D47" s="63">
        <f>IFERROR(ORA_1/Equity_RAV_based_on_actual_gearing,0)</f>
        <v>-7.6165184900930811E-6</v>
      </c>
      <c r="E47" s="63">
        <f>IFERROR(ORA_1/Equity_RAV_based_on_actual_gearing,0)</f>
        <v>-1.6688649125594056E-4</v>
      </c>
      <c r="F47" s="63">
        <f>IFERROR(ORA_1/Equity_RAV_based_on_actual_gearing,0)</f>
        <v>-3.8530524792884749E-4</v>
      </c>
      <c r="G47" s="63">
        <f>IFERROR(ORA_1/Equity_RAV_based_on_actual_gearing,0)</f>
        <v>0</v>
      </c>
      <c r="H47" s="63">
        <f>IFERROR(ORA_1/Equity_RAV_based_on_actual_gearing,0)</f>
        <v>0</v>
      </c>
      <c r="I47" s="333"/>
      <c r="J47" s="30">
        <f>IFERROR(AVERAGE(D74:INDEX(D74:H74,0,MATCH('RFPR cover'!$C$9,$D$6:$H$6,0)))/AVERAGE($D$91:INDEX($D$91:$H$91,0,MATCH('RFPR cover'!$C$9,$D$6:$H$6,0))),0)</f>
        <v>-7.6165184900930811E-6</v>
      </c>
      <c r="K47" s="64">
        <f t="shared" si="11"/>
        <v>-1.0990083616331962E-4</v>
      </c>
    </row>
    <row r="48" spans="1:13">
      <c r="A48" s="334"/>
      <c r="B48" s="163" t="str">
        <f t="shared" ref="B48" si="14">B75</f>
        <v>Carry-over Network innovation input for RORE</v>
      </c>
      <c r="C48" s="162" t="s">
        <v>486</v>
      </c>
      <c r="D48" s="63">
        <f>IFERROR(ORA_2/Equity_RAV_based_on_actual_gearing,0)</f>
        <v>0</v>
      </c>
      <c r="E48" s="63">
        <f>IFERROR(ORA_2/Equity_RAV_based_on_actual_gearing,0)</f>
        <v>0</v>
      </c>
      <c r="F48" s="63">
        <f>IFERROR(ORA_2/Equity_RAV_based_on_actual_gearing,0)</f>
        <v>0</v>
      </c>
      <c r="G48" s="63">
        <f>IFERROR(ORA_2/Equity_RAV_based_on_actual_gearing,0)</f>
        <v>0</v>
      </c>
      <c r="H48" s="63">
        <f>IFERROR(ORA_2/Equity_RAV_based_on_actual_gearing,0)</f>
        <v>0</v>
      </c>
      <c r="I48" s="333"/>
      <c r="J48" s="30">
        <f>IFERROR(AVERAGE(D75:INDEX(D75:H75,0,MATCH('RFPR cover'!$C$9,$D$6:$H$6,0)))/AVERAGE($D$91:INDEX($D$91:$H$91,0,MATCH('RFPR cover'!$C$9,$D$6:$H$6,0))),0)</f>
        <v>0</v>
      </c>
      <c r="K48" s="64">
        <f t="shared" si="11"/>
        <v>0</v>
      </c>
    </row>
    <row r="49" spans="1:12">
      <c r="A49" s="334"/>
      <c r="B49" s="240" t="str">
        <f>B76</f>
        <v>Strategic innovation input for RORE</v>
      </c>
      <c r="C49" s="162" t="s">
        <v>486</v>
      </c>
      <c r="D49" s="63">
        <f>IFERROR(ORA_3/Equity_RAV_based_on_actual_gearing,0)</f>
        <v>-2.1918525940700055E-5</v>
      </c>
      <c r="E49" s="63">
        <f>IFERROR(ORA_3/Equity_RAV_based_on_actual_gearing,0)</f>
        <v>0</v>
      </c>
      <c r="F49" s="63">
        <f>IFERROR(ORA_3/Equity_RAV_based_on_actual_gearing,0)</f>
        <v>0</v>
      </c>
      <c r="G49" s="63">
        <f>IFERROR(ORA_3/Equity_RAV_based_on_actual_gearing,0)</f>
        <v>0</v>
      </c>
      <c r="H49" s="63">
        <f>IFERROR(ORA_3/Equity_RAV_based_on_actual_gearing,0)</f>
        <v>0</v>
      </c>
      <c r="I49" s="333"/>
      <c r="J49" s="30">
        <f>IFERROR(AVERAGE(D76:INDEX(D76:H76,0,MATCH('RFPR cover'!$C$9,$D$6:$H$6,0)))/AVERAGE($D$91:INDEX($D$91:$H$91,0,MATCH('RFPR cover'!$C$9,$D$6:$H$6,0))),0)</f>
        <v>-2.1918525940700055E-5</v>
      </c>
      <c r="K49" s="64">
        <f>IFERROR(AVERAGE(D76:H76)/AVERAGE($D$91:$H$91),0)</f>
        <v>-4.2180786310529468E-6</v>
      </c>
    </row>
    <row r="50" spans="1:12">
      <c r="A50" s="334"/>
      <c r="B50" s="163" t="str">
        <f t="shared" ref="B50:B54" si="15">B77</f>
        <v/>
      </c>
      <c r="C50" s="162" t="s">
        <v>486</v>
      </c>
      <c r="D50" s="63">
        <f>IFERROR(ORA_4/Equity_RAV_based_on_actual_gearing,0)</f>
        <v>0</v>
      </c>
      <c r="E50" s="63">
        <f>IFERROR(ORA_4/Equity_RAV_based_on_actual_gearing,0)</f>
        <v>0</v>
      </c>
      <c r="F50" s="63">
        <f>IFERROR(ORA_4/Equity_RAV_based_on_actual_gearing,0)</f>
        <v>0</v>
      </c>
      <c r="G50" s="63">
        <f>IFERROR(ORA_4/Equity_RAV_based_on_actual_gearing,0)</f>
        <v>0</v>
      </c>
      <c r="H50" s="63">
        <f>IFERROR(ORA_4/Equity_RAV_based_on_actual_gearing,0)</f>
        <v>0</v>
      </c>
      <c r="I50" s="333"/>
      <c r="J50" s="30">
        <f>IFERROR(AVERAGE(D77:INDEX(D77:H77,0,MATCH('RFPR cover'!$C$9,$D$6:$H$6,0)))/AVERAGE($D$91:INDEX($D$91:$H$91,0,MATCH('RFPR cover'!$C$9,$D$6:$H$6,0))),0)</f>
        <v>0</v>
      </c>
      <c r="K50" s="64">
        <f t="shared" ref="K50:K55" si="16">IFERROR(AVERAGE(D77:H77)/AVERAGE($D$91:$H$91),0)</f>
        <v>0</v>
      </c>
    </row>
    <row r="51" spans="1:12">
      <c r="A51" s="334"/>
      <c r="B51" s="163" t="str">
        <f t="shared" si="15"/>
        <v/>
      </c>
      <c r="C51" s="162" t="s">
        <v>486</v>
      </c>
      <c r="D51" s="63">
        <f>IFERROR(ORA_5/Equity_RAV_based_on_actual_gearing,0)</f>
        <v>0</v>
      </c>
      <c r="E51" s="63">
        <f>IFERROR(ORA_5/Equity_RAV_based_on_actual_gearing,0)</f>
        <v>0</v>
      </c>
      <c r="F51" s="63">
        <f>IFERROR(ORA_5/Equity_RAV_based_on_actual_gearing,0)</f>
        <v>0</v>
      </c>
      <c r="G51" s="63">
        <f>IFERROR(ORA_5/Equity_RAV_based_on_actual_gearing,0)</f>
        <v>0</v>
      </c>
      <c r="H51" s="63">
        <f>IFERROR(ORA_5/Equity_RAV_based_on_actual_gearing,0)</f>
        <v>0</v>
      </c>
      <c r="I51" s="333"/>
      <c r="J51" s="30">
        <f>IFERROR(AVERAGE(D78:INDEX(D78:H78,0,MATCH('RFPR cover'!$C$9,$D$6:$H$6,0)))/AVERAGE($D$91:INDEX($D$91:$H$91,0,MATCH('RFPR cover'!$C$9,$D$6:$H$6,0))),0)</f>
        <v>0</v>
      </c>
      <c r="K51" s="64">
        <f t="shared" si="16"/>
        <v>0</v>
      </c>
    </row>
    <row r="52" spans="1:12">
      <c r="A52" s="334"/>
      <c r="B52" s="163" t="str">
        <f t="shared" si="15"/>
        <v/>
      </c>
      <c r="C52" s="162" t="s">
        <v>486</v>
      </c>
      <c r="D52" s="63">
        <f>IFERROR(ORA_6/Equity_RAV_based_on_actual_gearing,0)</f>
        <v>0</v>
      </c>
      <c r="E52" s="63">
        <f>IFERROR(ORA_6/Equity_RAV_based_on_actual_gearing,0)</f>
        <v>0</v>
      </c>
      <c r="F52" s="63">
        <f>IFERROR(ORA_6/Equity_RAV_based_on_actual_gearing,0)</f>
        <v>0</v>
      </c>
      <c r="G52" s="63">
        <f>IFERROR(ORA_6/Equity_RAV_based_on_actual_gearing,0)</f>
        <v>0</v>
      </c>
      <c r="H52" s="63">
        <f>IFERROR(ORA_6/Equity_RAV_based_on_actual_gearing,0)</f>
        <v>0</v>
      </c>
      <c r="I52" s="333"/>
      <c r="J52" s="30">
        <f>IFERROR(AVERAGE(D79:INDEX(D79:H79,0,MATCH('RFPR cover'!$C$9,$D$6:$H$6,0)))/AVERAGE($D$91:INDEX($D$91:$H$91,0,MATCH('RFPR cover'!$C$9,$D$6:$H$6,0))),0)</f>
        <v>0</v>
      </c>
      <c r="K52" s="64">
        <f t="shared" si="16"/>
        <v>0</v>
      </c>
    </row>
    <row r="53" spans="1:12">
      <c r="A53" s="334"/>
      <c r="B53" s="163" t="str">
        <f t="shared" si="15"/>
        <v/>
      </c>
      <c r="C53" s="162" t="s">
        <v>486</v>
      </c>
      <c r="D53" s="63">
        <f>IFERROR(ORA_7/Equity_RAV_based_on_actual_gearing,0)</f>
        <v>0</v>
      </c>
      <c r="E53" s="63">
        <f>IFERROR(ORA_7/Equity_RAV_based_on_actual_gearing,0)</f>
        <v>0</v>
      </c>
      <c r="F53" s="63">
        <f>IFERROR(ORA_7/Equity_RAV_based_on_actual_gearing,0)</f>
        <v>0</v>
      </c>
      <c r="G53" s="63">
        <f>IFERROR(ORA_7/Equity_RAV_based_on_actual_gearing,0)</f>
        <v>0</v>
      </c>
      <c r="H53" s="63">
        <f>IFERROR(ORA_7/Equity_RAV_based_on_actual_gearing,0)</f>
        <v>0</v>
      </c>
      <c r="I53" s="333"/>
      <c r="J53" s="30">
        <f>IFERROR(AVERAGE(D80:INDEX(D80:H80,0,MATCH('RFPR cover'!$C$9,$D$6:$H$6,0)))/AVERAGE($D$91:INDEX($D$91:$H$91,0,MATCH('RFPR cover'!$C$9,$D$6:$H$6,0))),0)</f>
        <v>0</v>
      </c>
      <c r="K53" s="64">
        <f t="shared" si="16"/>
        <v>0</v>
      </c>
    </row>
    <row r="54" spans="1:12">
      <c r="A54" s="334"/>
      <c r="B54" s="163" t="str">
        <f t="shared" si="15"/>
        <v/>
      </c>
      <c r="C54" s="162" t="s">
        <v>486</v>
      </c>
      <c r="D54" s="63">
        <f>IFERROR(ORA_8/Equity_RAV_based_on_actual_gearing,0)</f>
        <v>0</v>
      </c>
      <c r="E54" s="63">
        <f>IFERROR(ORA_8/Equity_RAV_based_on_actual_gearing,0)</f>
        <v>0</v>
      </c>
      <c r="F54" s="63">
        <f>IFERROR(ORA_8/Equity_RAV_based_on_actual_gearing,0)</f>
        <v>0</v>
      </c>
      <c r="G54" s="63">
        <f>IFERROR(ORA_8/Equity_RAV_based_on_actual_gearing,0)</f>
        <v>0</v>
      </c>
      <c r="H54" s="63">
        <f>IFERROR(ORA_8/Equity_RAV_based_on_actual_gearing,0)</f>
        <v>0</v>
      </c>
      <c r="I54" s="333"/>
      <c r="J54" s="30">
        <f>IFERROR(AVERAGE(D81:INDEX(D81:H81,0,MATCH('RFPR cover'!$C$9,$D$6:$H$6,0)))/AVERAGE($D$91:INDEX($D$91:$H$91,0,MATCH('RFPR cover'!$C$9,$D$6:$H$6,0))),0)</f>
        <v>0</v>
      </c>
      <c r="K54" s="64">
        <f t="shared" si="16"/>
        <v>0</v>
      </c>
    </row>
    <row r="55" spans="1:12" ht="13.5" thickBot="1">
      <c r="B55" s="163" t="str">
        <f t="shared" ref="B55:B56" si="17">B82</f>
        <v>Penalties and fines (Other Activities)</v>
      </c>
      <c r="C55" s="162" t="s">
        <v>486</v>
      </c>
      <c r="D55" s="335">
        <f>IFERROR(Penalties_and_fines/Equity_RAV_based_on_actual_gearing,0)</f>
        <v>-4.1011391729922986E-5</v>
      </c>
      <c r="E55" s="335">
        <f>IFERROR(Penalties_and_fines/Equity_RAV_based_on_actual_gearing,0)</f>
        <v>0</v>
      </c>
      <c r="F55" s="335">
        <f>IFERROR(Penalties_and_fines/Equity_RAV_based_on_actual_gearing,0)</f>
        <v>0</v>
      </c>
      <c r="G55" s="335">
        <f>IFERROR(Penalties_and_fines/Equity_RAV_based_on_actual_gearing,0)</f>
        <v>0</v>
      </c>
      <c r="H55" s="335">
        <f>IFERROR(Penalties_and_fines/Equity_RAV_based_on_actual_gearing,0)</f>
        <v>0</v>
      </c>
      <c r="I55" s="333"/>
      <c r="J55" s="30">
        <f>IFERROR(AVERAGE(D82:INDEX(D82:H82,0,MATCH('RFPR cover'!$C$9,$D$6:$H$6,0)))/AVERAGE($D$91:INDEX($D$91:$H$91,0,MATCH('RFPR cover'!$C$9,$D$6:$H$6,0))),0)</f>
        <v>-4.1011391729922986E-5</v>
      </c>
      <c r="K55" s="64">
        <f t="shared" si="16"/>
        <v>-7.8923772316508526E-6</v>
      </c>
    </row>
    <row r="56" spans="1:12" ht="13.5" thickBot="1">
      <c r="B56" s="164" t="str">
        <f t="shared" si="17"/>
        <v>RoRE - Operational performance</v>
      </c>
      <c r="C56" s="61" t="s">
        <v>486</v>
      </c>
      <c r="D56" s="151">
        <f t="shared" ref="D56:H56" si="18">SUM(D38:D55)</f>
        <v>5.1993435948643536E-2</v>
      </c>
      <c r="E56" s="152">
        <f t="shared" si="18"/>
        <v>6.2136852399755388E-2</v>
      </c>
      <c r="F56" s="152">
        <f t="shared" si="18"/>
        <v>5.8463312200994481E-2</v>
      </c>
      <c r="G56" s="152">
        <f t="shared" si="18"/>
        <v>5.9969737461013181E-2</v>
      </c>
      <c r="H56" s="153">
        <f t="shared" si="18"/>
        <v>6.6050933588118491E-2</v>
      </c>
      <c r="I56" s="336"/>
      <c r="J56" s="155">
        <f>SUM(J38:J55)</f>
        <v>5.1993435948643536E-2</v>
      </c>
      <c r="K56" s="153">
        <f>SUM(K38:K55)</f>
        <v>5.9837708446637869E-2</v>
      </c>
    </row>
    <row r="57" spans="1:12">
      <c r="B57" s="163" t="s">
        <v>488</v>
      </c>
      <c r="C57" s="162" t="s">
        <v>486</v>
      </c>
      <c r="D57" s="337">
        <f>IFERROR((Debt_performance___at_notional_gearing+Debt_performance___impact_of_actual_gearing)/Equity_RAV_based_on_actual_gearing,0)</f>
        <v>6.843320921430715E-2</v>
      </c>
      <c r="E57" s="337">
        <f>IFERROR((Debt_performance___at_notional_gearing+Debt_performance___impact_of_actual_gearing)/Equity_RAV_based_on_actual_gearing,0)</f>
        <v>6.4070514306630508E-3</v>
      </c>
      <c r="F57" s="337">
        <f>IFERROR((Debt_performance___at_notional_gearing+Debt_performance___impact_of_actual_gearing)/Equity_RAV_based_on_actual_gearing,0)</f>
        <v>-5.5774281009164321E-3</v>
      </c>
      <c r="G57" s="337">
        <f>IFERROR((Debt_performance___at_notional_gearing+Debt_performance___impact_of_actual_gearing)/Equity_RAV_based_on_actual_gearing,0)</f>
        <v>1.0231558878888017E-3</v>
      </c>
      <c r="H57" s="337">
        <f>IFERROR((Debt_performance___at_notional_gearing+Debt_performance___impact_of_actual_gearing)/Equity_RAV_based_on_actual_gearing,0)</f>
        <v>9.5605289731604415E-3</v>
      </c>
      <c r="I57" s="333"/>
      <c r="J57" s="154">
        <f>IFERROR((AVERAGE(D84:INDEX(D84:H84,0,MATCH('RFPR cover'!$C$9,$D$6:$H$6,0)))+AVERAGE(D85:INDEX(D85:H85,0,MATCH('RFPR cover'!$C$9,$D$6:$H$6,0))))/AVERAGE($D$91:INDEX($D$91:$H$91,0,MATCH('RFPR cover'!$C$9,$D$6:$H$6,0))),0)</f>
        <v>6.843320921430715E-2</v>
      </c>
      <c r="K57" s="154">
        <f>IFERROR((AVERAGE(D84:H84)+AVERAGE(D85:H85))/AVERAGE($D$91:$H$91),0)</f>
        <v>1.5505148804432638E-2</v>
      </c>
    </row>
    <row r="58" spans="1:12" ht="13.5" thickBot="1">
      <c r="B58" s="163" t="s">
        <v>489</v>
      </c>
      <c r="C58" s="162" t="s">
        <v>486</v>
      </c>
      <c r="D58" s="156">
        <f>IFERROR((Tax_performance___at_notional_gearing+Tax_performance___impact_of_actual_gearing)/D$91,0)</f>
        <v>-3.7490474768294606E-3</v>
      </c>
      <c r="E58" s="156">
        <f>IFERROR((Tax_performance___at_notional_gearing+Tax_performance___impact_of_actual_gearing)/E$91,0)</f>
        <v>1.5746364171927258E-3</v>
      </c>
      <c r="F58" s="156">
        <f>IFERROR((Tax_performance___at_notional_gearing+Tax_performance___impact_of_actual_gearing)/F$91,0)</f>
        <v>5.4624759407532651E-4</v>
      </c>
      <c r="G58" s="156">
        <f>IFERROR((Tax_performance___at_notional_gearing+Tax_performance___impact_of_actual_gearing)/G$91,0)</f>
        <v>-8.4514803933565853E-4</v>
      </c>
      <c r="H58" s="156">
        <f>IFERROR((Tax_performance___at_notional_gearing+Tax_performance___impact_of_actual_gearing)/H$91,0)</f>
        <v>5.1939619235966713E-4</v>
      </c>
      <c r="I58" s="333"/>
      <c r="J58" s="33">
        <f>IFERROR((AVERAGE(D86:INDEX(D86:H86,0,MATCH('RFPR cover'!$C$9,$D$6:$H$6,0)))+AVERAGE(D87:INDEX(D87:H87,0,MATCH('RFPR cover'!$C$9,$D$6:$H$6,0))))/AVERAGE($D$91:INDEX($D$91:$H$91,0,MATCH('RFPR cover'!$C$9,$D$6:$H$6,0))),0)</f>
        <v>-3.7490474768294606E-3</v>
      </c>
      <c r="K58" s="33">
        <f>IFERROR((AVERAGE(D86:H86)+AVERAGE(D87:H87))/AVERAGE($D$91:$H$91),0)</f>
        <v>-3.8071223309417781E-4</v>
      </c>
    </row>
    <row r="59" spans="1:12" ht="13.5" thickBot="1">
      <c r="B59" s="164" t="str">
        <f>B88</f>
        <v>RoRE - including financing and tax</v>
      </c>
      <c r="C59" s="61" t="s">
        <v>486</v>
      </c>
      <c r="D59" s="151">
        <f>SUM(D56:D58)</f>
        <v>0.11667759768612122</v>
      </c>
      <c r="E59" s="152">
        <f t="shared" ref="E59:H59" si="19">SUM(E56:E58)</f>
        <v>7.0118540247611175E-2</v>
      </c>
      <c r="F59" s="152">
        <f t="shared" si="19"/>
        <v>5.3432131694153374E-2</v>
      </c>
      <c r="G59" s="152">
        <f t="shared" si="19"/>
        <v>6.0147745309566326E-2</v>
      </c>
      <c r="H59" s="153">
        <f t="shared" si="19"/>
        <v>7.6130858753638592E-2</v>
      </c>
      <c r="I59" s="336"/>
      <c r="J59" s="155">
        <f>SUM(J56:J58)</f>
        <v>0.11667759768612122</v>
      </c>
      <c r="K59" s="153">
        <f>SUM(K56:K58)</f>
        <v>7.4962145017976337E-2</v>
      </c>
    </row>
    <row r="60" spans="1:12">
      <c r="B60" s="60"/>
      <c r="C60" s="61"/>
      <c r="D60" s="62"/>
      <c r="E60" s="62"/>
      <c r="F60" s="62"/>
      <c r="G60" s="62"/>
      <c r="H60" s="62"/>
      <c r="I60" s="336"/>
      <c r="J60" s="62"/>
      <c r="K60" s="62"/>
    </row>
    <row r="61" spans="1:12">
      <c r="B61" s="60"/>
      <c r="C61" s="61"/>
      <c r="D61" s="62"/>
      <c r="E61" s="62"/>
      <c r="F61" s="62"/>
      <c r="G61" s="62"/>
      <c r="H61" s="62"/>
      <c r="I61" s="336"/>
      <c r="J61" s="62"/>
      <c r="K61" s="62"/>
    </row>
    <row r="62" spans="1:12">
      <c r="B62" s="67" t="s">
        <v>490</v>
      </c>
      <c r="C62" s="68"/>
      <c r="D62" s="69"/>
      <c r="E62" s="69"/>
      <c r="F62" s="69"/>
      <c r="G62" s="69"/>
      <c r="H62" s="69"/>
      <c r="I62" s="339"/>
      <c r="J62" s="69"/>
      <c r="K62" s="69"/>
      <c r="L62" s="38"/>
    </row>
    <row r="63" spans="1:12">
      <c r="B63" s="71" t="str">
        <f>"Input values provided in "&amp;Data!C9&amp;" prices"</f>
        <v>Input values provided in £m 20/21 prices</v>
      </c>
      <c r="C63" s="70"/>
      <c r="D63" s="70"/>
      <c r="E63" s="70"/>
      <c r="F63" s="70"/>
      <c r="G63" s="70"/>
      <c r="H63" s="70"/>
      <c r="I63" s="70"/>
      <c r="J63" s="70"/>
      <c r="K63" s="70"/>
      <c r="L63" s="70"/>
    </row>
    <row r="65" spans="1:12">
      <c r="B65" s="340" t="s">
        <v>491</v>
      </c>
      <c r="C65" s="341" t="str">
        <f>Data!$C$9</f>
        <v>£m 20/21</v>
      </c>
      <c r="D65" s="31">
        <f>'R7 - RAV'!F44</f>
        <v>46.029632110646176</v>
      </c>
      <c r="E65" s="32">
        <f>'R7 - RAV'!G44</f>
        <v>50.31200964489171</v>
      </c>
      <c r="F65" s="32">
        <f>'R7 - RAV'!H44</f>
        <v>51.952276779910832</v>
      </c>
      <c r="G65" s="32">
        <f>'R7 - RAV'!I44</f>
        <v>54.064893592878832</v>
      </c>
      <c r="H65" s="32">
        <f>'R7 - RAV'!J44</f>
        <v>56.144372702869553</v>
      </c>
      <c r="I65" s="34"/>
      <c r="J65" s="18">
        <f>SUM(D65:INDEX(D65:H65,0,MATCH('RFPR cover'!$C$9,$D$6:$H$6,0)))</f>
        <v>46.029632110646176</v>
      </c>
      <c r="K65" s="18">
        <f t="shared" ref="K65:K82" si="20">SUM(D65:H65)</f>
        <v>258.50318483119707</v>
      </c>
      <c r="L65" s="34"/>
    </row>
    <row r="66" spans="1:12">
      <c r="B66" s="340" t="s">
        <v>492</v>
      </c>
      <c r="C66" s="341" t="str">
        <f>Data!$C$9</f>
        <v>£m 20/21</v>
      </c>
      <c r="D66" s="46">
        <f>'R3 - Totex - Reconciliation'!D102</f>
        <v>0</v>
      </c>
      <c r="E66" s="46">
        <f>'R3 - Totex - Reconciliation'!E102</f>
        <v>0</v>
      </c>
      <c r="F66" s="46">
        <f>'R3 - Totex - Reconciliation'!F102</f>
        <v>0</v>
      </c>
      <c r="G66" s="46">
        <f>'R3 - Totex - Reconciliation'!G102</f>
        <v>0</v>
      </c>
      <c r="H66" s="46">
        <f>'R3 - Totex - Reconciliation'!H102</f>
        <v>0</v>
      </c>
      <c r="I66" s="34"/>
      <c r="J66" s="18">
        <f>SUM(D66:INDEX(D66:H66,0,MATCH('RFPR cover'!$C$9,$D$6:$H$6,0)))</f>
        <v>0</v>
      </c>
      <c r="K66" s="18">
        <f t="shared" si="20"/>
        <v>0</v>
      </c>
      <c r="L66" s="34"/>
    </row>
    <row r="67" spans="1:12">
      <c r="A67" s="334"/>
      <c r="B67" s="340" t="s">
        <v>493</v>
      </c>
      <c r="C67" s="341" t="str">
        <f>Data!$C$9</f>
        <v>£m 20/21</v>
      </c>
      <c r="D67" s="43">
        <f>'R4 - Incentives and Other Rev'!D12</f>
        <v>0</v>
      </c>
      <c r="E67" s="43">
        <f>'R4 - Incentives and Other Rev'!E12</f>
        <v>0</v>
      </c>
      <c r="F67" s="43">
        <f>'R4 - Incentives and Other Rev'!F12</f>
        <v>0</v>
      </c>
      <c r="G67" s="43">
        <f>'R4 - Incentives and Other Rev'!G12</f>
        <v>0</v>
      </c>
      <c r="H67" s="43">
        <f>'R4 - Incentives and Other Rev'!H12</f>
        <v>0</v>
      </c>
      <c r="I67" s="34"/>
      <c r="J67" s="18">
        <f>SUM(D67:INDEX(D67:H67,0,MATCH('RFPR cover'!$C$9,$D$6:$H$6,0)))</f>
        <v>0</v>
      </c>
      <c r="K67" s="18">
        <f t="shared" si="20"/>
        <v>0</v>
      </c>
      <c r="L67" s="34"/>
    </row>
    <row r="68" spans="1:12">
      <c r="A68" s="334"/>
      <c r="B68" s="239" t="str">
        <f>'R4 - Incentives and Other Rev'!B14</f>
        <v>Time to connect ODI</v>
      </c>
      <c r="C68" s="341" t="str">
        <f>Data!$C$9</f>
        <v>£m 20/21</v>
      </c>
      <c r="D68" s="43">
        <f>'R4 - Incentives and Other Rev'!D14</f>
        <v>0.22185539999999995</v>
      </c>
      <c r="E68" s="43">
        <f>'R4 - Incentives and Other Rev'!E14</f>
        <v>0.13425989999999979</v>
      </c>
      <c r="F68" s="43">
        <f>'R4 - Incentives and Other Rev'!F14</f>
        <v>0.13425989999999979</v>
      </c>
      <c r="G68" s="43">
        <f>'R4 - Incentives and Other Rev'!G14</f>
        <v>0.13425989999999979</v>
      </c>
      <c r="H68" s="43">
        <f>'R4 - Incentives and Other Rev'!H14</f>
        <v>0.13425989999999979</v>
      </c>
      <c r="I68" s="342"/>
      <c r="J68" s="18">
        <f>SUM(D68:INDEX(D68:H68,0,MATCH('RFPR cover'!$C$9,$D$6:$H$6,0)))</f>
        <v>0.22185539999999995</v>
      </c>
      <c r="K68" s="18">
        <f t="shared" si="20"/>
        <v>0.7588949999999991</v>
      </c>
      <c r="L68" s="34"/>
    </row>
    <row r="69" spans="1:12">
      <c r="A69" s="334"/>
      <c r="B69" s="239" t="str">
        <f>'R4 - Incentives and Other Rev'!B15</f>
        <v>Broad Measure of Customer Service ODI</v>
      </c>
      <c r="C69" s="341" t="str">
        <f>Data!$C$9</f>
        <v>£m 20/21</v>
      </c>
      <c r="D69" s="43">
        <f>'R4 - Incentives and Other Rev'!D15</f>
        <v>1.0728485942070738</v>
      </c>
      <c r="E69" s="43">
        <f>'R4 - Incentives and Other Rev'!E15</f>
        <v>1.7785600000000015</v>
      </c>
      <c r="F69" s="43">
        <f>'R4 - Incentives and Other Rev'!F15</f>
        <v>2.4455200000000072</v>
      </c>
      <c r="G69" s="43">
        <f>'R4 - Incentives and Other Rev'!G15</f>
        <v>3.1124800000000126</v>
      </c>
      <c r="H69" s="43">
        <f>'R4 - Incentives and Other Rev'!H15</f>
        <v>3.6970000000000001</v>
      </c>
      <c r="I69" s="342"/>
      <c r="J69" s="18">
        <f>SUM(D69:INDEX(D69:H69,0,MATCH('RFPR cover'!$C$9,$D$6:$H$6,0)))</f>
        <v>1.0728485942070738</v>
      </c>
      <c r="K69" s="18">
        <f t="shared" si="20"/>
        <v>12.106408594207096</v>
      </c>
      <c r="L69" s="34"/>
    </row>
    <row r="70" spans="1:12">
      <c r="A70" s="334"/>
      <c r="B70" s="239" t="str">
        <f>'R4 - Incentives and Other Rev'!B16</f>
        <v>Interruptions incentive scheme ODI</v>
      </c>
      <c r="C70" s="341" t="str">
        <f>Data!$C$9</f>
        <v>£m 20/21</v>
      </c>
      <c r="D70" s="43">
        <f>'R4 - Incentives and Other Rev'!D16</f>
        <v>-0.23176817878634509</v>
      </c>
      <c r="E70" s="43">
        <f>'R4 - Incentives and Other Rev'!E16</f>
        <v>1.2531400000000001</v>
      </c>
      <c r="F70" s="43">
        <f>'R4 - Incentives and Other Rev'!F16</f>
        <v>1.2495399999999999</v>
      </c>
      <c r="G70" s="43">
        <f>'R4 - Incentives and Other Rev'!G16</f>
        <v>1.2503200000000003</v>
      </c>
      <c r="H70" s="43">
        <f>'R4 - Incentives and Other Rev'!H16</f>
        <v>1.2486199999999998</v>
      </c>
      <c r="I70" s="342"/>
      <c r="J70" s="18">
        <f>SUM(D70:INDEX(D70:H70,0,MATCH('RFPR cover'!$C$9,$D$6:$H$6,0)))</f>
        <v>-0.23176817878634509</v>
      </c>
      <c r="K70" s="18">
        <f t="shared" si="20"/>
        <v>4.7698518212136554</v>
      </c>
      <c r="L70" s="34"/>
    </row>
    <row r="71" spans="1:12">
      <c r="A71" s="334"/>
      <c r="B71" s="239" t="str">
        <f>'R4 - Incentives and Other Rev'!B17</f>
        <v>Major connections ODI</v>
      </c>
      <c r="C71" s="341" t="str">
        <f>Data!$C$9</f>
        <v>£m 20/21</v>
      </c>
      <c r="D71" s="43">
        <f>'R4 - Incentives and Other Rev'!D17</f>
        <v>0</v>
      </c>
      <c r="E71" s="43">
        <f>'R4 - Incentives and Other Rev'!E17</f>
        <v>0</v>
      </c>
      <c r="F71" s="43">
        <f>'R4 - Incentives and Other Rev'!F17</f>
        <v>0</v>
      </c>
      <c r="G71" s="43">
        <f>'R4 - Incentives and Other Rev'!G17</f>
        <v>0</v>
      </c>
      <c r="H71" s="43">
        <f>'R4 - Incentives and Other Rev'!H17</f>
        <v>0</v>
      </c>
      <c r="I71" s="342"/>
      <c r="J71" s="18">
        <f>SUM(D71:INDEX(D71:H71,0,MATCH('RFPR cover'!$C$9,$D$6:$H$6,0)))</f>
        <v>0</v>
      </c>
      <c r="K71" s="18">
        <f t="shared" si="20"/>
        <v>0</v>
      </c>
      <c r="L71" s="34"/>
    </row>
    <row r="72" spans="1:12">
      <c r="A72" s="334"/>
      <c r="B72" s="239" t="str">
        <f>'R4 - Incentives and Other Rev'!B18</f>
        <v>Consumer Vulnerability ODI</v>
      </c>
      <c r="C72" s="341" t="str">
        <f>Data!$C$9</f>
        <v>£m 20/21</v>
      </c>
      <c r="D72" s="43">
        <f>'R4 - Incentives and Other Rev'!D18</f>
        <v>0</v>
      </c>
      <c r="E72" s="43">
        <f>'R4 - Incentives and Other Rev'!E18</f>
        <v>1.7153300000000005</v>
      </c>
      <c r="F72" s="43">
        <f>'R4 - Incentives and Other Rev'!F18</f>
        <v>0</v>
      </c>
      <c r="G72" s="43">
        <f>'R4 - Incentives and Other Rev'!G18</f>
        <v>0</v>
      </c>
      <c r="H72" s="43">
        <f>'R4 - Incentives and Other Rev'!H18</f>
        <v>5.5335356928576367</v>
      </c>
      <c r="I72" s="342"/>
      <c r="J72" s="18">
        <f>SUM(D72:INDEX(D72:H72,0,MATCH('RFPR cover'!$C$9,$D$6:$H$6,0)))</f>
        <v>0</v>
      </c>
      <c r="K72" s="18">
        <f t="shared" si="20"/>
        <v>7.2488656928576374</v>
      </c>
      <c r="L72" s="34"/>
    </row>
    <row r="73" spans="1:12">
      <c r="A73" s="334"/>
      <c r="B73" s="239" t="str">
        <f>'R4 - Incentives and Other Rev'!B19</f>
        <v>Distribution System Operator ODI</v>
      </c>
      <c r="C73" s="341" t="str">
        <f>Data!$C$9</f>
        <v>£m 20/21</v>
      </c>
      <c r="D73" s="43">
        <f>'R4 - Incentives and Other Rev'!D19</f>
        <v>0.314496</v>
      </c>
      <c r="E73" s="43">
        <f>'R4 - Incentives and Other Rev'!E19</f>
        <v>0</v>
      </c>
      <c r="F73" s="43">
        <f>'R4 - Incentives and Other Rev'!F19</f>
        <v>0</v>
      </c>
      <c r="G73" s="43">
        <f>'R4 - Incentives and Other Rev'!G19</f>
        <v>0</v>
      </c>
      <c r="H73" s="43">
        <f>'R4 - Incentives and Other Rev'!H19</f>
        <v>0</v>
      </c>
      <c r="I73" s="342"/>
      <c r="J73" s="18">
        <f>SUM(D73:INDEX(D73:H73,0,MATCH('RFPR cover'!$C$9,$D$6:$H$6,0)))</f>
        <v>0.314496</v>
      </c>
      <c r="K73" s="18">
        <f t="shared" ref="K73:K76" si="21">SUM(D73:H73)</f>
        <v>0.314496</v>
      </c>
      <c r="L73" s="34"/>
    </row>
    <row r="74" spans="1:12">
      <c r="A74" s="334"/>
      <c r="B74" s="239" t="str">
        <f>'R4 - Incentives and Other Rev'!B45</f>
        <v>Network innovation input for RORE</v>
      </c>
      <c r="C74" s="341" t="str">
        <f>Data!$C$9</f>
        <v>£m 20/21</v>
      </c>
      <c r="D74" s="43">
        <f>-'R4 - Incentives and Other Rev'!D45</f>
        <v>-6.9352508666202144E-3</v>
      </c>
      <c r="E74" s="43">
        <f>-'R4 - Incentives and Other Rev'!E45</f>
        <v>-0.14784050308759186</v>
      </c>
      <c r="F74" s="43">
        <f>-'R4 - Incentives and Other Rev'!F45</f>
        <v>-0.36522424604578796</v>
      </c>
      <c r="G74" s="43">
        <f>-'R4 - Incentives and Other Rev'!G45</f>
        <v>0</v>
      </c>
      <c r="H74" s="43">
        <f>-'R4 - Incentives and Other Rev'!H45</f>
        <v>0</v>
      </c>
      <c r="I74" s="34"/>
      <c r="J74" s="18">
        <f>SUM(D74:INDEX(D74:H74,0,MATCH('RFPR cover'!$C$9,$D$6:$H$6,0)))</f>
        <v>-6.9352508666202144E-3</v>
      </c>
      <c r="K74" s="18">
        <f t="shared" si="21"/>
        <v>-0.52</v>
      </c>
      <c r="L74" s="34"/>
    </row>
    <row r="75" spans="1:12">
      <c r="A75" s="334"/>
      <c r="B75" s="239" t="str">
        <f>'R4 - Incentives and Other Rev'!B52</f>
        <v>Carry-over Network innovation input for RORE</v>
      </c>
      <c r="C75" s="341" t="str">
        <f>Data!$C$9</f>
        <v>£m 20/21</v>
      </c>
      <c r="D75" s="43">
        <f>-'R4 - Incentives and Other Rev'!D52</f>
        <v>0</v>
      </c>
      <c r="E75" s="43">
        <f>-'R4 - Incentives and Other Rev'!E52</f>
        <v>0</v>
      </c>
      <c r="F75" s="43">
        <f>-'R4 - Incentives and Other Rev'!F52</f>
        <v>0</v>
      </c>
      <c r="G75" s="43">
        <f>-'R4 - Incentives and Other Rev'!G52</f>
        <v>0</v>
      </c>
      <c r="H75" s="43">
        <f>-'R4 - Incentives and Other Rev'!H52</f>
        <v>0</v>
      </c>
      <c r="I75" s="34"/>
      <c r="J75" s="18">
        <f>SUM(D75:INDEX(D75:H75,0,MATCH('RFPR cover'!$C$9,$D$6:$H$6,0)))</f>
        <v>0</v>
      </c>
      <c r="K75" s="18">
        <f t="shared" si="21"/>
        <v>0</v>
      </c>
      <c r="L75" s="34"/>
    </row>
    <row r="76" spans="1:12">
      <c r="A76" s="334"/>
      <c r="B76" s="239" t="str">
        <f>'R4 - Incentives and Other Rev'!B59</f>
        <v>Strategic innovation input for RORE</v>
      </c>
      <c r="C76" s="341" t="str">
        <f>Data!$C$9</f>
        <v>£m 20/21</v>
      </c>
      <c r="D76" s="43">
        <f>-'R4 - Incentives and Other Rev'!D59</f>
        <v>-1.9958E-2</v>
      </c>
      <c r="E76" s="43">
        <f>-'R4 - Incentives and Other Rev'!E59</f>
        <v>0</v>
      </c>
      <c r="F76" s="43">
        <f>-'R4 - Incentives and Other Rev'!F59</f>
        <v>0</v>
      </c>
      <c r="G76" s="43">
        <f>-'R4 - Incentives and Other Rev'!G59</f>
        <v>0</v>
      </c>
      <c r="H76" s="43">
        <f>-'R4 - Incentives and Other Rev'!H59</f>
        <v>0</v>
      </c>
      <c r="I76" s="34"/>
      <c r="J76" s="18">
        <f>SUM(D76:INDEX(D76:H76,0,MATCH('RFPR cover'!$C$9,$D$6:$H$6,0)))</f>
        <v>-1.9958E-2</v>
      </c>
      <c r="K76" s="18">
        <f t="shared" si="21"/>
        <v>-1.9958E-2</v>
      </c>
      <c r="L76" s="34"/>
    </row>
    <row r="77" spans="1:12">
      <c r="A77" s="334"/>
      <c r="B77" s="239" t="str">
        <f>'R4 - Incentives and Other Rev'!B66</f>
        <v/>
      </c>
      <c r="C77" s="341" t="str">
        <f>Data!$C$9</f>
        <v>£m 20/21</v>
      </c>
      <c r="D77" s="44">
        <f>'R4 - Incentives and Other Rev'!D66</f>
        <v>0</v>
      </c>
      <c r="E77" s="44">
        <f>'R4 - Incentives and Other Rev'!E66</f>
        <v>0</v>
      </c>
      <c r="F77" s="44">
        <f>'R4 - Incentives and Other Rev'!F66</f>
        <v>0</v>
      </c>
      <c r="G77" s="44">
        <f>'R4 - Incentives and Other Rev'!G66</f>
        <v>0</v>
      </c>
      <c r="H77" s="44">
        <f>'R4 - Incentives and Other Rev'!H66</f>
        <v>0</v>
      </c>
      <c r="I77" s="34"/>
      <c r="J77" s="18">
        <f>SUM(D77:INDEX(D77:H77,0,MATCH('RFPR cover'!$C$9,$D$6:$H$6,0)))</f>
        <v>0</v>
      </c>
      <c r="K77" s="18">
        <f t="shared" si="20"/>
        <v>0</v>
      </c>
      <c r="L77" s="34"/>
    </row>
    <row r="78" spans="1:12">
      <c r="A78" s="334"/>
      <c r="B78" s="239" t="str">
        <f>'R4 - Incentives and Other Rev'!B67</f>
        <v/>
      </c>
      <c r="C78" s="341" t="str">
        <f>Data!$C$9</f>
        <v>£m 20/21</v>
      </c>
      <c r="D78" s="44">
        <f>'R4 - Incentives and Other Rev'!D67</f>
        <v>0</v>
      </c>
      <c r="E78" s="44">
        <f>'R4 - Incentives and Other Rev'!E67</f>
        <v>0</v>
      </c>
      <c r="F78" s="44">
        <f>'R4 - Incentives and Other Rev'!F67</f>
        <v>0</v>
      </c>
      <c r="G78" s="44">
        <f>'R4 - Incentives and Other Rev'!G67</f>
        <v>0</v>
      </c>
      <c r="H78" s="44">
        <f>'R4 - Incentives and Other Rev'!H67</f>
        <v>0</v>
      </c>
      <c r="I78" s="34"/>
      <c r="J78" s="18">
        <f>SUM(D78:INDEX(D78:H78,0,MATCH('RFPR cover'!$C$9,$D$6:$H$6,0)))</f>
        <v>0</v>
      </c>
      <c r="K78" s="18">
        <f t="shared" si="20"/>
        <v>0</v>
      </c>
      <c r="L78" s="34"/>
    </row>
    <row r="79" spans="1:12">
      <c r="A79" s="334"/>
      <c r="B79" s="239" t="str">
        <f>'R4 - Incentives and Other Rev'!B68</f>
        <v/>
      </c>
      <c r="C79" s="341" t="str">
        <f>Data!$C$9</f>
        <v>£m 20/21</v>
      </c>
      <c r="D79" s="44">
        <f>'R4 - Incentives and Other Rev'!D68</f>
        <v>0</v>
      </c>
      <c r="E79" s="44">
        <f>'R4 - Incentives and Other Rev'!E68</f>
        <v>0</v>
      </c>
      <c r="F79" s="44">
        <f>'R4 - Incentives and Other Rev'!F68</f>
        <v>0</v>
      </c>
      <c r="G79" s="44">
        <f>'R4 - Incentives and Other Rev'!G68</f>
        <v>0</v>
      </c>
      <c r="H79" s="44">
        <f>'R4 - Incentives and Other Rev'!H68</f>
        <v>0</v>
      </c>
      <c r="I79" s="34"/>
      <c r="J79" s="18">
        <f>SUM(D79:INDEX(D79:H79,0,MATCH('RFPR cover'!$C$9,$D$6:$H$6,0)))</f>
        <v>0</v>
      </c>
      <c r="K79" s="18">
        <f t="shared" si="20"/>
        <v>0</v>
      </c>
      <c r="L79" s="34"/>
    </row>
    <row r="80" spans="1:12">
      <c r="A80" s="334"/>
      <c r="B80" s="239" t="str">
        <f>'R4 - Incentives and Other Rev'!B69</f>
        <v/>
      </c>
      <c r="C80" s="341" t="str">
        <f>Data!$C$9</f>
        <v>£m 20/21</v>
      </c>
      <c r="D80" s="44">
        <f>'R4 - Incentives and Other Rev'!D69</f>
        <v>0</v>
      </c>
      <c r="E80" s="44">
        <f>'R4 - Incentives and Other Rev'!E69</f>
        <v>0</v>
      </c>
      <c r="F80" s="44">
        <f>'R4 - Incentives and Other Rev'!F69</f>
        <v>0</v>
      </c>
      <c r="G80" s="44">
        <f>'R4 - Incentives and Other Rev'!G69</f>
        <v>0</v>
      </c>
      <c r="H80" s="44">
        <f>'R4 - Incentives and Other Rev'!H69</f>
        <v>0</v>
      </c>
      <c r="I80" s="34"/>
      <c r="J80" s="18">
        <f>SUM(D80:INDEX(D80:H80,0,MATCH('RFPR cover'!$C$9,$D$6:$H$6,0)))</f>
        <v>0</v>
      </c>
      <c r="K80" s="18">
        <f>SUM(D80:H80)</f>
        <v>0</v>
      </c>
      <c r="L80" s="34"/>
    </row>
    <row r="81" spans="1:23">
      <c r="A81" s="334"/>
      <c r="B81" s="239" t="str">
        <f>'R4 - Incentives and Other Rev'!B70</f>
        <v/>
      </c>
      <c r="C81" s="341" t="str">
        <f>Data!$C$9</f>
        <v>£m 20/21</v>
      </c>
      <c r="D81" s="44">
        <f>'R4 - Incentives and Other Rev'!D70</f>
        <v>0</v>
      </c>
      <c r="E81" s="44">
        <f>'R4 - Incentives and Other Rev'!E70</f>
        <v>0</v>
      </c>
      <c r="F81" s="44">
        <f>'R4 - Incentives and Other Rev'!F70</f>
        <v>0</v>
      </c>
      <c r="G81" s="44">
        <f>'R4 - Incentives and Other Rev'!G70</f>
        <v>0</v>
      </c>
      <c r="H81" s="44">
        <f>'R4 - Incentives and Other Rev'!H70</f>
        <v>0</v>
      </c>
      <c r="I81" s="34"/>
      <c r="J81" s="18">
        <f>SUM(D81:INDEX(D81:H81,0,MATCH('RFPR cover'!$C$9,$D$6:$H$6,0)))</f>
        <v>0</v>
      </c>
      <c r="K81" s="18">
        <f>SUM(D81:H81)</f>
        <v>0</v>
      </c>
      <c r="L81" s="34"/>
    </row>
    <row r="82" spans="1:23" ht="13.5" thickBot="1">
      <c r="B82" s="340" t="s">
        <v>494</v>
      </c>
      <c r="C82" s="341" t="str">
        <f>Data!$C$9</f>
        <v>£m 20/21</v>
      </c>
      <c r="D82" s="44">
        <f>-'R10 - Pensions &amp; Oth Activities'!D54</f>
        <v>-3.7343084035862895E-2</v>
      </c>
      <c r="E82" s="44">
        <f>-'R10 - Pensions &amp; Oth Activities'!E54</f>
        <v>0</v>
      </c>
      <c r="F82" s="44">
        <f>-'R10 - Pensions &amp; Oth Activities'!F54</f>
        <v>0</v>
      </c>
      <c r="G82" s="44">
        <f>-'R10 - Pensions &amp; Oth Activities'!G54</f>
        <v>0</v>
      </c>
      <c r="H82" s="44">
        <f>-'R10 - Pensions &amp; Oth Activities'!H54</f>
        <v>0</v>
      </c>
      <c r="I82" s="34"/>
      <c r="J82" s="142">
        <f>SUM(D82:INDEX(D82:H82,0,MATCH('RFPR cover'!$C$9,$D$6:$H$6,0)))</f>
        <v>-3.7343084035862895E-2</v>
      </c>
      <c r="K82" s="142">
        <f t="shared" si="20"/>
        <v>-3.7343084035862895E-2</v>
      </c>
      <c r="L82" s="34"/>
    </row>
    <row r="83" spans="1:23" ht="13.5" thickBot="1">
      <c r="B83" s="343" t="s">
        <v>495</v>
      </c>
      <c r="C83" s="344" t="str">
        <f>Data!$C$9</f>
        <v>£m 20/21</v>
      </c>
      <c r="D83" s="147">
        <f>SUM(D65:D82)</f>
        <v>47.342827591164422</v>
      </c>
      <c r="E83" s="149">
        <f>SUM(E65:E82)</f>
        <v>55.045459041804115</v>
      </c>
      <c r="F83" s="149">
        <f>SUM(F65:F82)</f>
        <v>55.41637243386505</v>
      </c>
      <c r="G83" s="149">
        <f>SUM(G65:G82)</f>
        <v>58.561953492878843</v>
      </c>
      <c r="H83" s="148">
        <f>SUM(H65:H82)</f>
        <v>66.757788295727195</v>
      </c>
      <c r="I83" s="80"/>
      <c r="J83" s="147">
        <f>SUM(J65:J82)</f>
        <v>47.342827591164422</v>
      </c>
      <c r="K83" s="148">
        <f>SUM(K65:K82)</f>
        <v>283.12440085543966</v>
      </c>
      <c r="L83" s="34"/>
    </row>
    <row r="84" spans="1:23">
      <c r="B84" s="340" t="s">
        <v>496</v>
      </c>
      <c r="C84" s="341" t="str">
        <f>Data!$C$9</f>
        <v>£m 20/21</v>
      </c>
      <c r="D84" s="44">
        <f>IFERROR('R5 - Financing'!D85,0)</f>
        <v>62.988789683189054</v>
      </c>
      <c r="E84" s="44">
        <f>IFERROR('R5 - Financing'!E85,0)</f>
        <v>6.0718509528861233</v>
      </c>
      <c r="F84" s="44">
        <f>IFERROR('R5 - Financing'!F85,0)</f>
        <v>-5.5148117961482512</v>
      </c>
      <c r="G84" s="44">
        <f>IFERROR('R5 - Financing'!G85,0)</f>
        <v>1.0239337771972572</v>
      </c>
      <c r="H84" s="44">
        <f>IFERROR('R5 - Financing'!H85,0)</f>
        <v>9.6918073616947567</v>
      </c>
      <c r="I84" s="34"/>
      <c r="J84" s="146">
        <f>SUM(D84:INDEX(D84:H84,0,MATCH('RFPR cover'!$C$9,$D$6:$H$6,0)))</f>
        <v>62.988789683189054</v>
      </c>
      <c r="K84" s="146">
        <f>SUM(D84:H84)</f>
        <v>74.26156997881894</v>
      </c>
      <c r="L84" s="34"/>
    </row>
    <row r="85" spans="1:23">
      <c r="B85" s="340" t="s">
        <v>497</v>
      </c>
      <c r="C85" s="341" t="str">
        <f>Data!$C$9</f>
        <v>£m 20/21</v>
      </c>
      <c r="D85" s="44">
        <f>IFERROR('R5 - Financing'!D87,0)</f>
        <v>-0.67666188799663729</v>
      </c>
      <c r="E85" s="44">
        <f>IFERROR('R5 - Financing'!E87,0)</f>
        <v>-0.39600685257112644</v>
      </c>
      <c r="F85" s="44">
        <f>IFERROR('R5 - Financing'!F87,0)</f>
        <v>0.22806321439013288</v>
      </c>
      <c r="G85" s="44">
        <f>IFERROR('R5 - Financing'!G87,0)</f>
        <v>-2.4796377913787637E-2</v>
      </c>
      <c r="H85" s="44">
        <f>IFERROR('R5 - Financing'!H87,0)</f>
        <v>-2.8964847380620995E-2</v>
      </c>
      <c r="I85" s="34"/>
      <c r="J85" s="18">
        <f>SUM(D85:INDEX(D85:H85,0,MATCH('RFPR cover'!$C$9,$D$6:$H$6,0)))</f>
        <v>-0.67666188799663729</v>
      </c>
      <c r="K85" s="18">
        <f>SUM(D85:H85)</f>
        <v>-0.89836675147203948</v>
      </c>
      <c r="L85" s="34"/>
    </row>
    <row r="86" spans="1:23">
      <c r="B86" s="340" t="s">
        <v>498</v>
      </c>
      <c r="C86" s="341" t="str">
        <f>Data!$C$9</f>
        <v>£m 20/21</v>
      </c>
      <c r="D86" s="44">
        <f>IFERROR('R8 - Tax'!E62,0)</f>
        <v>-3.5828753968816613</v>
      </c>
      <c r="E86" s="44">
        <f>IFERROR('R8 - Tax'!F62,0)</f>
        <v>1.2959286874298837</v>
      </c>
      <c r="F86" s="44">
        <f>IFERROR('R8 - Tax'!G62,0)</f>
        <v>0.57479454337044189</v>
      </c>
      <c r="G86" s="44">
        <f>IFERROR('R8 - Tax'!H62,0)</f>
        <v>-0.83150736277541504</v>
      </c>
      <c r="H86" s="44">
        <f>IFERROR('R8 - Tax'!I62,0)</f>
        <v>0.51771338254971822</v>
      </c>
      <c r="I86" s="34"/>
      <c r="J86" s="18">
        <f>SUM(D86:INDEX(D86:H86,0,MATCH('RFPR cover'!$C$9,$D$6:$H$6,0)))</f>
        <v>-3.5828753968816613</v>
      </c>
      <c r="K86" s="18">
        <f>SUM(D86:H86)</f>
        <v>-2.025946146307033</v>
      </c>
      <c r="L86" s="34"/>
    </row>
    <row r="87" spans="1:23" ht="13.5" thickBot="1">
      <c r="B87" s="340" t="s">
        <v>499</v>
      </c>
      <c r="C87" s="341" t="str">
        <f>Data!$C$9</f>
        <v>£m 20/21</v>
      </c>
      <c r="D87" s="44">
        <f>IFERROR('R8 - Tax'!E64,0)</f>
        <v>0.16916547199915843</v>
      </c>
      <c r="E87" s="44">
        <f>IFERROR('R8 - Tax'!F64,0)</f>
        <v>9.9001713142781611E-2</v>
      </c>
      <c r="F87" s="44">
        <f>IFERROR('R8 - Tax'!G64,0)</f>
        <v>-5.7015803597533332E-2</v>
      </c>
      <c r="G87" s="44">
        <f>IFERROR('R8 - Tax'!H64,0)</f>
        <v>6.1990944784473534E-3</v>
      </c>
      <c r="H87" s="44">
        <f>IFERROR('R8 - Tax'!I64,0)</f>
        <v>7.2412118451551377E-3</v>
      </c>
      <c r="I87" s="34"/>
      <c r="J87" s="142">
        <f>SUM(D87:INDEX(D87:H87,0,MATCH('RFPR cover'!$C$9,$D$6:$H$6,0)))</f>
        <v>0.16916547199915843</v>
      </c>
      <c r="K87" s="142">
        <f>SUM(D87:H87)</f>
        <v>0.2245916878680092</v>
      </c>
      <c r="L87" s="34"/>
    </row>
    <row r="88" spans="1:23" ht="13.5" thickBot="1">
      <c r="B88" s="343" t="s">
        <v>500</v>
      </c>
      <c r="C88" s="344" t="str">
        <f>Data!$C$9</f>
        <v>£m 20/21</v>
      </c>
      <c r="D88" s="231">
        <f>IF(OR(Licensee=Data!$B$86,Licensee=Data!$B$89),"N/A",SUM(D83:D87))</f>
        <v>106.24124546147435</v>
      </c>
      <c r="E88" s="231">
        <f>IF(OR(Licensee=Data!$B$86,Licensee=Data!$B$89),"N/A",SUM(E83:E87))</f>
        <v>62.116233542691781</v>
      </c>
      <c r="F88" s="231">
        <f>IF(OR(Licensee=Data!$B$86,Licensee=Data!$B$89),"N/A",SUM(F83:F87))</f>
        <v>50.647402591879839</v>
      </c>
      <c r="G88" s="231">
        <f>IF(OR(Licensee=Data!$B$86,Licensee=Data!$B$89),"N/A",SUM(G83:G87))</f>
        <v>58.735782623865347</v>
      </c>
      <c r="H88" s="231">
        <f>IF(OR(Licensee=Data!$B$86,Licensee=Data!$B$89),"N/A",SUM(H83:H87))</f>
        <v>76.945585404436201</v>
      </c>
      <c r="I88" s="80"/>
      <c r="J88" s="147">
        <f>SUM(J83:J87)</f>
        <v>106.24124546147435</v>
      </c>
      <c r="K88" s="148">
        <f>SUM(K83:K87)</f>
        <v>354.68624962434751</v>
      </c>
      <c r="L88" s="34"/>
    </row>
    <row r="89" spans="1:23">
      <c r="D89" s="150"/>
      <c r="I89" s="34"/>
      <c r="L89" s="34"/>
    </row>
    <row r="90" spans="1:23">
      <c r="B90" s="345" t="s">
        <v>501</v>
      </c>
      <c r="C90" s="341" t="str">
        <f>Data!$C$9</f>
        <v>£m 20/21</v>
      </c>
      <c r="D90" s="42">
        <f>'R7 - RAV'!F40</f>
        <v>871.2132509101757</v>
      </c>
      <c r="E90" s="32">
        <f>'R7 - RAV'!G40</f>
        <v>900.43127064643852</v>
      </c>
      <c r="F90" s="32">
        <f>'R7 - RAV'!H40</f>
        <v>941.58359263646162</v>
      </c>
      <c r="G90" s="32">
        <f>'R7 - RAV'!I40</f>
        <v>977.30727613303975</v>
      </c>
      <c r="H90" s="32">
        <f>'R7 - RAV'!J40</f>
        <v>1011.8065912185693</v>
      </c>
      <c r="I90" s="34"/>
      <c r="L90" s="34"/>
    </row>
    <row r="91" spans="1:23">
      <c r="B91" s="340" t="s">
        <v>502</v>
      </c>
      <c r="C91" s="341" t="str">
        <f>Data!$C$9</f>
        <v>£m 20/21</v>
      </c>
      <c r="D91" s="45">
        <f>IFERROR('R6 - Net Debt'!D73,0)</f>
        <v>910.55393296044622</v>
      </c>
      <c r="E91" s="45">
        <f>IFERROR('R6 - Net Debt'!E73,0)</f>
        <v>885.87459640972747</v>
      </c>
      <c r="F91" s="45">
        <f>IFERROR('R6 - Net Debt'!F73,0)</f>
        <v>947.88287470517969</v>
      </c>
      <c r="G91" s="45">
        <f>IFERROR('R6 - Net Debt'!G73,0)</f>
        <v>976.52509369330585</v>
      </c>
      <c r="H91" s="45">
        <f>IFERROR('R6 - Net Debt'!H73,0)</f>
        <v>1010.701661115292</v>
      </c>
      <c r="I91" s="34"/>
      <c r="L91" s="34"/>
    </row>
    <row r="92" spans="1:23">
      <c r="L92" s="34"/>
    </row>
    <row r="93" spans="1:23">
      <c r="L93" s="34"/>
    </row>
    <row r="94" spans="1:23">
      <c r="L94" s="34"/>
      <c r="S94" s="103"/>
      <c r="T94" s="103"/>
      <c r="U94" s="103"/>
      <c r="V94" s="103"/>
      <c r="W94" s="103"/>
    </row>
    <row r="95" spans="1:23">
      <c r="S95" s="103"/>
      <c r="T95" s="103"/>
      <c r="U95" s="103"/>
      <c r="V95" s="103"/>
      <c r="W95" s="103"/>
    </row>
    <row r="99" spans="13:17">
      <c r="M99" s="103"/>
      <c r="N99" s="103"/>
      <c r="O99" s="103"/>
      <c r="P99" s="103"/>
      <c r="Q99" s="103"/>
    </row>
    <row r="101" spans="13:17">
      <c r="M101" s="103"/>
      <c r="N101" s="103"/>
      <c r="O101" s="103"/>
      <c r="P101" s="103"/>
      <c r="Q101" s="103"/>
    </row>
  </sheetData>
  <sheetProtection sort="0" autoFilter="0" pivotTables="0"/>
  <phoneticPr fontId="248" type="noConversion"/>
  <conditionalFormatting sqref="D6:G6">
    <cfRule type="expression" dxfId="82" priority="8">
      <formula>AND(D$5="Actuals",E$5="Forecast")</formula>
    </cfRule>
  </conditionalFormatting>
  <conditionalFormatting sqref="D7:H7">
    <cfRule type="expression" dxfId="81" priority="2">
      <formula>AND(D$5="Actuals",E$5="Forecast")</formula>
    </cfRule>
  </conditionalFormatting>
  <conditionalFormatting sqref="H6">
    <cfRule type="expression" dxfId="80" priority="201">
      <formula>AND(H$5="Actuals",#REF!="Forecast")</formula>
    </cfRule>
  </conditionalFormatting>
  <pageMargins left="0.70866141732283472" right="0.70866141732283472" top="0.74803149606299213" bottom="0.74803149606299213" header="0.31496062992125984" footer="0.31496062992125984"/>
  <pageSetup paperSize="8" scale="83" orientation="landscape" r:id="rId1"/>
  <headerFooter>
    <oddFooter>&amp;C_x000D_&amp;1#&amp;"Calibri"&amp;12&amp;K008000 Internal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2"/>
  <sheetViews>
    <sheetView zoomScaleNormal="100" workbookViewId="0"/>
  </sheetViews>
  <sheetFormatPr defaultColWidth="9" defaultRowHeight="12.75" outlineLevelCol="1"/>
  <cols>
    <col min="1" max="1" width="6.875" style="103" customWidth="1"/>
    <col min="2" max="2" width="54.875" style="79" customWidth="1"/>
    <col min="3" max="3" width="37.125" style="79" customWidth="1"/>
    <col min="4" max="4" width="14.5" style="29" customWidth="1"/>
    <col min="5" max="5" width="10.375" style="103" customWidth="1"/>
    <col min="6" max="9" width="11.125" style="103" customWidth="1"/>
    <col min="10" max="10" width="5" style="103" customWidth="1"/>
    <col min="11" max="20" width="9.25" style="103" customWidth="1" outlineLevel="1"/>
    <col min="21" max="16384" width="9" style="103"/>
  </cols>
  <sheetData>
    <row r="1" spans="1:14" ht="20.25">
      <c r="A1" s="288" t="s">
        <v>503</v>
      </c>
      <c r="B1" s="346"/>
      <c r="C1" s="346"/>
      <c r="D1" s="347"/>
      <c r="E1" s="348"/>
      <c r="F1" s="348"/>
      <c r="G1" s="348"/>
      <c r="H1" s="348"/>
      <c r="I1" s="348"/>
      <c r="J1" s="349"/>
    </row>
    <row r="2" spans="1:14" ht="20.25">
      <c r="A2" s="293" t="str">
        <f t="shared" ref="A2" si="0">Licensee</f>
        <v>SPMW</v>
      </c>
      <c r="B2" s="294"/>
      <c r="C2" s="294"/>
      <c r="D2" s="350"/>
      <c r="E2" s="296"/>
      <c r="F2" s="296"/>
      <c r="G2" s="296"/>
      <c r="H2" s="296"/>
      <c r="I2" s="296"/>
      <c r="J2" s="298"/>
    </row>
    <row r="3" spans="1:14" ht="20.25">
      <c r="A3" s="295">
        <f>Reporting_Year</f>
        <v>2024</v>
      </c>
      <c r="B3" s="351"/>
      <c r="C3" s="351"/>
      <c r="D3" s="352"/>
      <c r="E3" s="299"/>
      <c r="F3" s="299"/>
      <c r="G3" s="299"/>
      <c r="H3" s="299"/>
      <c r="I3" s="299"/>
      <c r="J3" s="301"/>
    </row>
    <row r="4" spans="1:14" s="303" customFormat="1" ht="12.75" customHeight="1">
      <c r="B4" s="353"/>
      <c r="C4" s="353"/>
      <c r="D4" s="29"/>
    </row>
    <row r="5" spans="1:14" s="303" customFormat="1">
      <c r="B5" s="353"/>
      <c r="C5" s="353"/>
      <c r="D5" s="29"/>
      <c r="E5" s="302" t="str">
        <f>IF(E6&lt;=Reporting_Year,"Actuals","Forecast")</f>
        <v>Actuals</v>
      </c>
      <c r="F5" s="302" t="str">
        <f>IF(F6&lt;=Reporting_Year,"Actuals","Forecast")</f>
        <v>Forecast</v>
      </c>
      <c r="G5" s="302" t="str">
        <f>IF(G6&lt;=Reporting_Year,"Actuals","Forecast")</f>
        <v>Forecast</v>
      </c>
      <c r="H5" s="302" t="str">
        <f>IF(H6&lt;=Reporting_Year,"Actuals","Forecast")</f>
        <v>Forecast</v>
      </c>
      <c r="I5" s="302" t="str">
        <f>IF(I6&lt;=Reporting_Year,"Actuals","Forecast")</f>
        <v>Forecast</v>
      </c>
    </row>
    <row r="6" spans="1:14" s="303" customFormat="1">
      <c r="B6" s="353"/>
      <c r="C6" s="353"/>
      <c r="D6" s="29"/>
      <c r="E6" s="304">
        <f>RIIO_2_start_date</f>
        <v>2024</v>
      </c>
      <c r="F6" s="304">
        <f>E6+1</f>
        <v>2025</v>
      </c>
      <c r="G6" s="304">
        <f>F6+1</f>
        <v>2026</v>
      </c>
      <c r="H6" s="304">
        <f t="shared" ref="H6:I6" si="1">G6+1</f>
        <v>2027</v>
      </c>
      <c r="I6" s="304">
        <f t="shared" si="1"/>
        <v>2028</v>
      </c>
    </row>
    <row r="7" spans="1:14" s="303" customFormat="1">
      <c r="B7" s="78"/>
      <c r="C7" s="78"/>
      <c r="D7" s="29"/>
      <c r="E7" s="307" t="str">
        <f>RIIO_2_start_date-1&amp;"/"&amp;RIGHT(RIIO_2_start_date,2)</f>
        <v>2023/24</v>
      </c>
      <c r="F7" s="307" t="str">
        <f>RIIO_2_start_date&amp;"/"&amp;RIGHT(RIIO_2_start_date+1,2)</f>
        <v>2024/25</v>
      </c>
      <c r="G7" s="307" t="str">
        <f>RIIO_2_start_date+1&amp;"/"&amp;RIGHT(RIIO_2_start_date+2,2)</f>
        <v>2025/26</v>
      </c>
      <c r="H7" s="307" t="str">
        <f>RIIO_2_start_date+2&amp;"/"&amp;RIGHT(RIIO_2_start_date+3,2)</f>
        <v>2026/27</v>
      </c>
      <c r="I7" s="307" t="str">
        <f>RIIO_2_start_date+3&amp;"/"&amp;RIGHT(RIIO_2_start_date+4,2)</f>
        <v>2027/28</v>
      </c>
    </row>
    <row r="8" spans="1:14" s="303" customFormat="1">
      <c r="B8" s="78"/>
      <c r="C8" s="78"/>
      <c r="D8" s="29"/>
      <c r="E8" s="354"/>
      <c r="F8" s="354"/>
      <c r="G8" s="354"/>
      <c r="H8" s="354"/>
      <c r="I8" s="354"/>
    </row>
    <row r="9" spans="1:14" s="303" customFormat="1">
      <c r="B9" s="355" t="s">
        <v>504</v>
      </c>
      <c r="C9" s="355"/>
      <c r="D9" s="356"/>
      <c r="E9" s="357"/>
      <c r="F9" s="357"/>
      <c r="G9" s="357"/>
      <c r="H9" s="357"/>
      <c r="I9" s="357"/>
      <c r="J9" s="358"/>
    </row>
    <row r="10" spans="1:14" s="303" customFormat="1">
      <c r="B10" s="78"/>
      <c r="C10" s="78"/>
      <c r="D10" s="29"/>
      <c r="E10" s="354"/>
      <c r="F10" s="354"/>
      <c r="G10" s="354"/>
      <c r="H10" s="354"/>
      <c r="I10" s="354"/>
    </row>
    <row r="11" spans="1:14" s="303" customFormat="1">
      <c r="B11" s="359" t="s">
        <v>505</v>
      </c>
      <c r="C11" s="78"/>
      <c r="D11" s="29"/>
    </row>
    <row r="12" spans="1:14" s="303" customFormat="1">
      <c r="B12" s="360"/>
      <c r="C12" s="78"/>
      <c r="D12" s="29"/>
    </row>
    <row r="13" spans="1:14" s="303" customFormat="1">
      <c r="B13" s="79" t="s">
        <v>506</v>
      </c>
      <c r="C13" s="305" t="str">
        <f>IF(Licensee="NGGT (SO)","SORt* x  PIt* / PI2018/19",IF(Sector="ED2","Rt* x  PIt* / PI2020/21","Rt* x  PIt* / PI2018/19"))</f>
        <v>Rt* x  PIt* / PI2020/21</v>
      </c>
      <c r="D13" s="28" t="s">
        <v>507</v>
      </c>
      <c r="E13" s="361">
        <v>540.37598338810744</v>
      </c>
      <c r="F13" s="361"/>
      <c r="G13" s="361"/>
      <c r="H13" s="361"/>
      <c r="I13" s="361"/>
      <c r="N13" s="305"/>
    </row>
    <row r="14" spans="1:14" s="303" customFormat="1">
      <c r="B14" s="721" t="s">
        <v>508</v>
      </c>
      <c r="C14" s="103" t="str">
        <f>IF(Licensee="NGGT (SO)","SOADJt*","ADJt*")</f>
        <v>ADJt*</v>
      </c>
      <c r="D14" s="28" t="s">
        <v>507</v>
      </c>
      <c r="E14" s="361">
        <v>0</v>
      </c>
      <c r="F14" s="361"/>
      <c r="G14" s="361"/>
      <c r="H14" s="361"/>
      <c r="I14" s="361"/>
    </row>
    <row r="15" spans="1:14" s="303" customFormat="1">
      <c r="B15" s="79" t="str">
        <f>IF(Sector="ED2","Calculated revenue","Adjusted revenue (as published)")</f>
        <v>Calculated revenue</v>
      </c>
      <c r="C15" s="103" t="str">
        <f>IF(Licensee="NGGT (SO)","SOADJRt*",IF(Sector="ED2"," ","ADJRt*"))</f>
        <v xml:space="preserve"> </v>
      </c>
      <c r="D15" s="28" t="s">
        <v>507</v>
      </c>
      <c r="E15" s="407">
        <f>SUM(E13:E14)</f>
        <v>540.37598338810744</v>
      </c>
      <c r="F15" s="407">
        <f t="shared" ref="F15:I15" si="2">SUM(F13:F14)</f>
        <v>0</v>
      </c>
      <c r="G15" s="407">
        <f t="shared" si="2"/>
        <v>0</v>
      </c>
      <c r="H15" s="407">
        <f t="shared" si="2"/>
        <v>0</v>
      </c>
      <c r="I15" s="407">
        <f t="shared" si="2"/>
        <v>0</v>
      </c>
    </row>
    <row r="16" spans="1:14" s="303" customFormat="1">
      <c r="B16" s="79" t="s">
        <v>509</v>
      </c>
      <c r="C16" s="103" t="str">
        <f>IF(OR(Licensee="ESO",Licensee="NGGT (SO)"),"SOLARt","LARt")</f>
        <v>LARt</v>
      </c>
      <c r="D16" s="28" t="s">
        <v>507</v>
      </c>
      <c r="E16" s="361">
        <v>9.5125402761758089</v>
      </c>
      <c r="F16" s="361"/>
      <c r="G16" s="361"/>
      <c r="H16" s="361"/>
      <c r="I16" s="361"/>
    </row>
    <row r="17" spans="2:10" s="303" customFormat="1">
      <c r="B17" s="79" t="s">
        <v>510</v>
      </c>
      <c r="C17" s="103" t="str">
        <f>IF(Licensee="NGGT (SO)","SOKt","Kt")</f>
        <v>Kt</v>
      </c>
      <c r="D17" s="28" t="s">
        <v>507</v>
      </c>
      <c r="E17" s="361">
        <v>15.797088958407471</v>
      </c>
      <c r="F17" s="361"/>
      <c r="G17" s="361"/>
      <c r="H17" s="361"/>
      <c r="I17" s="361"/>
    </row>
    <row r="18" spans="2:10" s="303" customFormat="1">
      <c r="B18" s="79" t="s">
        <v>511</v>
      </c>
      <c r="C18" s="103" t="s">
        <v>512</v>
      </c>
      <c r="D18" s="28" t="s">
        <v>507</v>
      </c>
      <c r="E18" s="361">
        <v>0</v>
      </c>
      <c r="F18" s="720"/>
      <c r="G18" s="720"/>
      <c r="H18" s="720"/>
      <c r="I18" s="720"/>
    </row>
    <row r="19" spans="2:10" s="303" customFormat="1">
      <c r="B19" s="78" t="s">
        <v>513</v>
      </c>
      <c r="C19" s="78" t="str">
        <f>IF(Licensee="ESO","SOIARt",IF(Licensee="NGGT (SO)","SOARt","ARt"))</f>
        <v>ARt</v>
      </c>
      <c r="D19" s="29" t="s">
        <v>507</v>
      </c>
      <c r="E19" s="406">
        <f>SUM(E15:E18)</f>
        <v>565.68561262269077</v>
      </c>
      <c r="F19" s="406">
        <f t="shared" ref="F19:I19" si="3">SUM(F15:F18)</f>
        <v>0</v>
      </c>
      <c r="G19" s="406">
        <f t="shared" si="3"/>
        <v>0</v>
      </c>
      <c r="H19" s="406">
        <f t="shared" si="3"/>
        <v>0</v>
      </c>
      <c r="I19" s="406">
        <f t="shared" si="3"/>
        <v>0</v>
      </c>
    </row>
    <row r="20" spans="2:10" s="303" customFormat="1">
      <c r="B20" s="353"/>
      <c r="C20" s="353"/>
      <c r="D20" s="29"/>
      <c r="E20" s="362"/>
      <c r="F20" s="362"/>
      <c r="G20" s="362"/>
      <c r="H20" s="363"/>
      <c r="I20" s="363"/>
    </row>
    <row r="21" spans="2:10" s="303" customFormat="1">
      <c r="B21" s="353" t="s">
        <v>514</v>
      </c>
      <c r="C21" s="360"/>
      <c r="D21" s="29" t="s">
        <v>507</v>
      </c>
      <c r="E21" s="406">
        <f>IF(ISBLANK(E25),0,E25-E19)</f>
        <v>-73.691424426323124</v>
      </c>
      <c r="F21" s="406">
        <f t="shared" ref="F21:I21" si="4">IF(ISBLANK(F25),0,F25-F19)</f>
        <v>0</v>
      </c>
      <c r="G21" s="406">
        <f t="shared" si="4"/>
        <v>0</v>
      </c>
      <c r="H21" s="406">
        <f t="shared" si="4"/>
        <v>0</v>
      </c>
      <c r="I21" s="406">
        <f t="shared" si="4"/>
        <v>0</v>
      </c>
    </row>
    <row r="22" spans="2:10" s="303" customFormat="1">
      <c r="B22" s="353"/>
      <c r="C22" s="353"/>
      <c r="D22" s="29"/>
    </row>
    <row r="23" spans="2:10" s="303" customFormat="1">
      <c r="B23" s="353"/>
      <c r="C23" s="353"/>
      <c r="D23" s="29"/>
    </row>
    <row r="24" spans="2:10" s="303" customFormat="1">
      <c r="B24" s="353"/>
      <c r="C24" s="353"/>
      <c r="D24" s="29"/>
    </row>
    <row r="25" spans="2:10" s="303" customFormat="1">
      <c r="B25" s="360" t="s">
        <v>515</v>
      </c>
      <c r="C25" s="360" t="s">
        <v>516</v>
      </c>
      <c r="D25" s="29" t="s">
        <v>507</v>
      </c>
      <c r="E25" s="361">
        <v>491.99418819636765</v>
      </c>
      <c r="F25" s="361"/>
      <c r="G25" s="361"/>
      <c r="H25" s="361"/>
      <c r="I25" s="361"/>
    </row>
    <row r="26" spans="2:10" s="303" customFormat="1">
      <c r="B26" s="353"/>
      <c r="C26" s="353"/>
      <c r="D26" s="29"/>
    </row>
    <row r="27" spans="2:10" s="303" customFormat="1">
      <c r="B27" s="360" t="s">
        <v>517</v>
      </c>
      <c r="C27" s="360"/>
      <c r="D27" s="29"/>
      <c r="E27" s="29"/>
      <c r="F27" s="29"/>
      <c r="G27" s="29"/>
      <c r="H27" s="29"/>
      <c r="I27" s="29"/>
      <c r="J27" s="29"/>
    </row>
    <row r="28" spans="2:10" s="303" customFormat="1">
      <c r="B28" s="364" t="s">
        <v>826</v>
      </c>
      <c r="C28" s="364"/>
      <c r="D28" s="29" t="s">
        <v>507</v>
      </c>
      <c r="E28" s="365">
        <v>0</v>
      </c>
      <c r="F28" s="365"/>
      <c r="G28" s="365"/>
      <c r="H28" s="365"/>
      <c r="I28" s="365"/>
    </row>
    <row r="29" spans="2:10" s="303" customFormat="1">
      <c r="B29" s="364" t="s">
        <v>827</v>
      </c>
      <c r="C29" s="364"/>
      <c r="D29" s="29" t="s">
        <v>507</v>
      </c>
      <c r="E29" s="365">
        <v>3.5727564099999998</v>
      </c>
      <c r="F29" s="365"/>
      <c r="G29" s="365"/>
      <c r="H29" s="365"/>
      <c r="I29" s="365"/>
    </row>
    <row r="30" spans="2:10" s="303" customFormat="1">
      <c r="B30" s="364" t="s">
        <v>828</v>
      </c>
      <c r="C30" s="364"/>
      <c r="D30" s="29" t="s">
        <v>507</v>
      </c>
      <c r="E30" s="365">
        <v>0</v>
      </c>
      <c r="F30" s="365"/>
      <c r="G30" s="365"/>
      <c r="H30" s="365"/>
      <c r="I30" s="365"/>
    </row>
    <row r="31" spans="2:10" s="303" customFormat="1">
      <c r="B31" s="364" t="s">
        <v>829</v>
      </c>
      <c r="C31" s="364"/>
      <c r="D31" s="29" t="s">
        <v>507</v>
      </c>
      <c r="E31" s="365">
        <v>0</v>
      </c>
      <c r="F31" s="365"/>
      <c r="G31" s="365"/>
      <c r="H31" s="365"/>
      <c r="I31" s="365"/>
    </row>
    <row r="32" spans="2:10" s="303" customFormat="1">
      <c r="B32" s="364" t="s">
        <v>830</v>
      </c>
      <c r="C32" s="364"/>
      <c r="D32" s="29" t="s">
        <v>507</v>
      </c>
      <c r="E32" s="365">
        <v>0</v>
      </c>
      <c r="F32" s="365"/>
      <c r="G32" s="365"/>
      <c r="H32" s="365"/>
      <c r="I32" s="365"/>
    </row>
    <row r="33" spans="2:9" s="303" customFormat="1">
      <c r="B33" s="364" t="s">
        <v>831</v>
      </c>
      <c r="C33" s="364"/>
      <c r="D33" s="29" t="s">
        <v>507</v>
      </c>
      <c r="E33" s="365">
        <v>0</v>
      </c>
      <c r="F33" s="365"/>
      <c r="G33" s="365"/>
      <c r="H33" s="365"/>
      <c r="I33" s="365"/>
    </row>
    <row r="34" spans="2:9" s="303" customFormat="1">
      <c r="B34" s="364" t="s">
        <v>832</v>
      </c>
      <c r="C34" s="364"/>
      <c r="D34" s="29" t="s">
        <v>507</v>
      </c>
      <c r="E34" s="365">
        <v>0</v>
      </c>
      <c r="F34" s="365"/>
      <c r="G34" s="365"/>
      <c r="H34" s="365"/>
      <c r="I34" s="365"/>
    </row>
    <row r="35" spans="2:9" s="303" customFormat="1">
      <c r="B35" s="364" t="s">
        <v>833</v>
      </c>
      <c r="C35" s="167"/>
      <c r="D35" s="29" t="s">
        <v>507</v>
      </c>
      <c r="E35" s="365">
        <v>0</v>
      </c>
      <c r="F35" s="365"/>
      <c r="G35" s="365"/>
      <c r="H35" s="365"/>
      <c r="I35" s="365"/>
    </row>
    <row r="36" spans="2:9" s="303" customFormat="1">
      <c r="B36" s="364" t="s">
        <v>834</v>
      </c>
      <c r="C36" s="367"/>
      <c r="D36" s="29" t="s">
        <v>507</v>
      </c>
      <c r="E36" s="365">
        <v>19.100000000000001</v>
      </c>
      <c r="F36" s="365"/>
      <c r="G36" s="365"/>
      <c r="H36" s="365"/>
      <c r="I36" s="365"/>
    </row>
    <row r="37" spans="2:9" s="303" customFormat="1">
      <c r="B37" s="360" t="s">
        <v>518</v>
      </c>
      <c r="C37" s="360"/>
      <c r="D37" s="29" t="s">
        <v>507</v>
      </c>
      <c r="E37" s="406">
        <f>SUM(E28:E36)</f>
        <v>22.672756410000002</v>
      </c>
      <c r="F37" s="406">
        <f t="shared" ref="F37:I37" si="5">SUM(F28:F36)</f>
        <v>0</v>
      </c>
      <c r="G37" s="406">
        <f t="shared" si="5"/>
        <v>0</v>
      </c>
      <c r="H37" s="406">
        <f t="shared" si="5"/>
        <v>0</v>
      </c>
      <c r="I37" s="406">
        <f t="shared" si="5"/>
        <v>0</v>
      </c>
    </row>
    <row r="38" spans="2:9" s="303" customFormat="1">
      <c r="B38" s="353"/>
      <c r="C38" s="353"/>
      <c r="D38" s="29"/>
    </row>
    <row r="39" spans="2:9" s="303" customFormat="1">
      <c r="B39" s="360" t="s">
        <v>519</v>
      </c>
      <c r="D39" s="360"/>
      <c r="E39" s="368"/>
    </row>
    <row r="40" spans="2:9" s="303" customFormat="1">
      <c r="B40" s="366" t="s">
        <v>870</v>
      </c>
      <c r="C40" s="366"/>
      <c r="D40" s="29" t="s">
        <v>507</v>
      </c>
      <c r="E40" s="365">
        <v>-0.29153113999999997</v>
      </c>
      <c r="F40" s="365"/>
      <c r="G40" s="365"/>
      <c r="H40" s="365"/>
      <c r="I40" s="365"/>
    </row>
    <row r="41" spans="2:9" s="303" customFormat="1">
      <c r="B41" s="366" t="s">
        <v>835</v>
      </c>
      <c r="C41" s="366"/>
      <c r="D41" s="29" t="s">
        <v>507</v>
      </c>
      <c r="E41" s="365">
        <v>0</v>
      </c>
      <c r="F41" s="365"/>
      <c r="G41" s="365"/>
      <c r="H41" s="365"/>
      <c r="I41" s="365"/>
    </row>
    <row r="42" spans="2:9" s="303" customFormat="1">
      <c r="B42" s="366" t="s">
        <v>835</v>
      </c>
      <c r="C42" s="366"/>
      <c r="D42" s="29" t="s">
        <v>507</v>
      </c>
      <c r="E42" s="365">
        <v>0</v>
      </c>
      <c r="F42" s="365"/>
      <c r="G42" s="365"/>
      <c r="H42" s="365"/>
      <c r="I42" s="365"/>
    </row>
    <row r="43" spans="2:9" s="303" customFormat="1">
      <c r="B43" s="366" t="s">
        <v>835</v>
      </c>
      <c r="C43" s="366"/>
      <c r="D43" s="29" t="s">
        <v>507</v>
      </c>
      <c r="E43" s="365">
        <v>0</v>
      </c>
      <c r="F43" s="365"/>
      <c r="G43" s="365"/>
      <c r="H43" s="365"/>
      <c r="I43" s="365"/>
    </row>
    <row r="44" spans="2:9" s="303" customFormat="1">
      <c r="B44" s="366" t="s">
        <v>835</v>
      </c>
      <c r="C44" s="366"/>
      <c r="D44" s="29" t="s">
        <v>507</v>
      </c>
      <c r="E44" s="365">
        <v>0</v>
      </c>
      <c r="F44" s="365"/>
      <c r="G44" s="365"/>
      <c r="H44" s="365"/>
      <c r="I44" s="365"/>
    </row>
    <row r="45" spans="2:9" s="303" customFormat="1">
      <c r="B45" s="366" t="s">
        <v>835</v>
      </c>
      <c r="C45" s="366"/>
      <c r="D45" s="29" t="s">
        <v>507</v>
      </c>
      <c r="E45" s="365">
        <v>0</v>
      </c>
      <c r="F45" s="365"/>
      <c r="G45" s="365"/>
      <c r="H45" s="365"/>
      <c r="I45" s="365"/>
    </row>
    <row r="46" spans="2:9" s="303" customFormat="1">
      <c r="B46" s="366" t="s">
        <v>835</v>
      </c>
      <c r="C46" s="366"/>
      <c r="D46" s="29" t="s">
        <v>507</v>
      </c>
      <c r="E46" s="365">
        <v>0</v>
      </c>
      <c r="F46" s="365"/>
      <c r="G46" s="365"/>
      <c r="H46" s="365"/>
      <c r="I46" s="365"/>
    </row>
    <row r="47" spans="2:9" s="303" customFormat="1">
      <c r="B47" s="366" t="s">
        <v>835</v>
      </c>
      <c r="C47" s="366"/>
      <c r="D47" s="29" t="s">
        <v>507</v>
      </c>
      <c r="E47" s="365">
        <v>0</v>
      </c>
      <c r="F47" s="365"/>
      <c r="G47" s="365"/>
      <c r="H47" s="365"/>
      <c r="I47" s="365"/>
    </row>
    <row r="48" spans="2:9" s="303" customFormat="1">
      <c r="B48" s="366" t="s">
        <v>835</v>
      </c>
      <c r="C48" s="366"/>
      <c r="D48" s="29" t="s">
        <v>507</v>
      </c>
      <c r="E48" s="365">
        <v>0</v>
      </c>
      <c r="F48" s="365"/>
      <c r="G48" s="365"/>
      <c r="H48" s="365"/>
      <c r="I48" s="365"/>
    </row>
    <row r="49" spans="2:10" s="303" customFormat="1">
      <c r="B49" s="366" t="s">
        <v>835</v>
      </c>
      <c r="C49" s="366"/>
      <c r="D49" s="29" t="s">
        <v>507</v>
      </c>
      <c r="E49" s="365">
        <v>0</v>
      </c>
      <c r="F49" s="365"/>
      <c r="G49" s="365"/>
      <c r="H49" s="365"/>
      <c r="I49" s="365"/>
    </row>
    <row r="50" spans="2:10" s="303" customFormat="1">
      <c r="B50" s="366" t="s">
        <v>835</v>
      </c>
      <c r="C50" s="366"/>
      <c r="D50" s="29" t="s">
        <v>507</v>
      </c>
      <c r="E50" s="365">
        <v>0</v>
      </c>
      <c r="F50" s="365"/>
      <c r="G50" s="365"/>
      <c r="H50" s="365"/>
      <c r="I50" s="365"/>
    </row>
    <row r="51" spans="2:10" s="303" customFormat="1">
      <c r="B51" s="366" t="s">
        <v>835</v>
      </c>
      <c r="C51" s="366"/>
      <c r="D51" s="29" t="s">
        <v>507</v>
      </c>
      <c r="E51" s="365">
        <v>0</v>
      </c>
      <c r="F51" s="365"/>
      <c r="G51" s="365"/>
      <c r="H51" s="365"/>
      <c r="I51" s="365"/>
    </row>
    <row r="52" spans="2:10" s="303" customFormat="1">
      <c r="B52" s="366" t="s">
        <v>835</v>
      </c>
      <c r="C52" s="366"/>
      <c r="D52" s="29" t="s">
        <v>507</v>
      </c>
      <c r="E52" s="365">
        <v>0</v>
      </c>
      <c r="F52" s="365"/>
      <c r="G52" s="365"/>
      <c r="H52" s="365"/>
      <c r="I52" s="365"/>
    </row>
    <row r="53" spans="2:10" s="303" customFormat="1">
      <c r="B53" s="366" t="s">
        <v>835</v>
      </c>
      <c r="C53" s="366"/>
      <c r="D53" s="29" t="s">
        <v>507</v>
      </c>
      <c r="E53" s="365">
        <v>0</v>
      </c>
      <c r="F53" s="365"/>
      <c r="G53" s="365"/>
      <c r="H53" s="365"/>
      <c r="I53" s="365"/>
    </row>
    <row r="54" spans="2:10" s="303" customFormat="1">
      <c r="B54" s="366" t="s">
        <v>835</v>
      </c>
      <c r="C54" s="366"/>
      <c r="D54" s="29" t="s">
        <v>507</v>
      </c>
      <c r="E54" s="365">
        <v>0</v>
      </c>
      <c r="F54" s="365"/>
      <c r="G54" s="365"/>
      <c r="H54" s="365"/>
      <c r="I54" s="365"/>
    </row>
    <row r="55" spans="2:10" s="303" customFormat="1">
      <c r="B55" s="366" t="s">
        <v>835</v>
      </c>
      <c r="C55" s="366"/>
      <c r="D55" s="29" t="s">
        <v>507</v>
      </c>
      <c r="E55" s="365">
        <v>0</v>
      </c>
      <c r="F55" s="365"/>
      <c r="G55" s="365"/>
      <c r="H55" s="365"/>
      <c r="I55" s="365"/>
    </row>
    <row r="56" spans="2:10" s="303" customFormat="1">
      <c r="B56" s="360" t="s">
        <v>520</v>
      </c>
      <c r="C56" s="360"/>
      <c r="D56" s="29" t="s">
        <v>507</v>
      </c>
      <c r="E56" s="406">
        <f t="shared" ref="E56:I56" si="6">SUM(E40:E55)</f>
        <v>-0.29153113999999997</v>
      </c>
      <c r="F56" s="406">
        <f t="shared" si="6"/>
        <v>0</v>
      </c>
      <c r="G56" s="406">
        <f t="shared" si="6"/>
        <v>0</v>
      </c>
      <c r="H56" s="406">
        <f t="shared" si="6"/>
        <v>0</v>
      </c>
      <c r="I56" s="406">
        <f t="shared" si="6"/>
        <v>0</v>
      </c>
    </row>
    <row r="57" spans="2:10" s="303" customFormat="1">
      <c r="B57" s="353"/>
      <c r="C57" s="353"/>
      <c r="D57" s="29"/>
      <c r="E57" s="369"/>
      <c r="F57" s="369"/>
      <c r="G57" s="369"/>
      <c r="H57" s="369"/>
      <c r="I57" s="369"/>
    </row>
    <row r="58" spans="2:10" s="303" customFormat="1">
      <c r="B58" s="370" t="s">
        <v>521</v>
      </c>
      <c r="C58" s="370"/>
      <c r="D58" s="29" t="s">
        <v>507</v>
      </c>
      <c r="E58" s="406">
        <f>E25+E37+E56</f>
        <v>514.37541346636772</v>
      </c>
      <c r="F58" s="406">
        <f t="shared" ref="F58:I58" si="7">F25+F37+F56</f>
        <v>0</v>
      </c>
      <c r="G58" s="406">
        <f t="shared" si="7"/>
        <v>0</v>
      </c>
      <c r="H58" s="406">
        <f t="shared" si="7"/>
        <v>0</v>
      </c>
      <c r="I58" s="406">
        <f t="shared" si="7"/>
        <v>0</v>
      </c>
    </row>
    <row r="59" spans="2:10" s="303" customFormat="1">
      <c r="B59" s="371" t="s">
        <v>522</v>
      </c>
      <c r="C59" s="371"/>
      <c r="D59" s="29" t="s">
        <v>507</v>
      </c>
      <c r="E59" s="365">
        <v>514.4</v>
      </c>
      <c r="F59" s="365"/>
      <c r="G59" s="365"/>
      <c r="H59" s="365"/>
      <c r="I59" s="365"/>
    </row>
    <row r="60" spans="2:10" s="303" customFormat="1">
      <c r="B60" s="353" t="s">
        <v>523</v>
      </c>
      <c r="C60" s="353"/>
      <c r="D60" s="29"/>
      <c r="E60" s="408" t="str">
        <f>IF(ABS(E58-E59)&lt;Data!$F$7,"OK","Error")</f>
        <v>OK</v>
      </c>
      <c r="F60" s="408" t="str">
        <f>IF(ABS(F58-F59)&lt;Data!$F$7,"OK","Error")</f>
        <v>OK</v>
      </c>
      <c r="G60" s="408" t="str">
        <f>IF(ABS(G58-G59)&lt;Data!$F$7,"OK","Error")</f>
        <v>OK</v>
      </c>
      <c r="H60" s="408" t="str">
        <f>IF(ABS(H58-H59)&lt;Data!$F$7,"OK","Error")</f>
        <v>OK</v>
      </c>
      <c r="I60" s="408" t="str">
        <f>IF(ABS(I58-I59)&lt;Data!$F$7,"OK","Error")</f>
        <v>OK</v>
      </c>
    </row>
    <row r="61" spans="2:10" s="303" customFormat="1">
      <c r="B61" s="353"/>
      <c r="C61" s="353"/>
      <c r="D61" s="29"/>
      <c r="E61" s="372"/>
      <c r="F61" s="372"/>
      <c r="G61" s="372"/>
      <c r="H61" s="372"/>
      <c r="I61" s="372"/>
    </row>
    <row r="62" spans="2:10" s="303" customFormat="1">
      <c r="B62" s="353"/>
      <c r="C62" s="353"/>
      <c r="D62" s="29"/>
    </row>
    <row r="63" spans="2:10" s="303" customFormat="1">
      <c r="B63" s="353"/>
      <c r="C63" s="353"/>
      <c r="D63" s="29"/>
    </row>
    <row r="64" spans="2:10" s="303" customFormat="1">
      <c r="B64" s="355" t="s">
        <v>524</v>
      </c>
      <c r="C64" s="355"/>
      <c r="D64" s="356"/>
      <c r="E64" s="357"/>
      <c r="F64" s="357"/>
      <c r="G64" s="357"/>
      <c r="H64" s="357"/>
      <c r="I64" s="357"/>
      <c r="J64" s="358"/>
    </row>
    <row r="65" spans="1:14" s="303" customFormat="1">
      <c r="A65" s="103"/>
      <c r="B65" s="79"/>
      <c r="C65" s="79"/>
      <c r="D65" s="29"/>
      <c r="E65" s="103"/>
      <c r="F65" s="103"/>
      <c r="G65" s="103"/>
      <c r="H65" s="103"/>
      <c r="I65" s="103"/>
      <c r="J65" s="103"/>
      <c r="K65" s="103"/>
      <c r="L65" s="103"/>
      <c r="M65" s="103"/>
      <c r="N65" s="103"/>
    </row>
    <row r="66" spans="1:14" s="303" customFormat="1">
      <c r="A66" s="103"/>
      <c r="B66" s="79"/>
      <c r="C66" s="79"/>
      <c r="D66" s="29"/>
      <c r="E66" s="302" t="str">
        <f>IF(E$6&lt;=Reporting_Year,"Actuals","N/A")</f>
        <v>Actuals</v>
      </c>
      <c r="F66" s="302" t="str">
        <f>IF(F$6&lt;=Reporting_Year,"Actuals","N/A")</f>
        <v>N/A</v>
      </c>
      <c r="G66" s="302" t="str">
        <f>IF(G$6&lt;=Reporting_Year,"Actuals","N/A")</f>
        <v>N/A</v>
      </c>
      <c r="H66" s="302" t="str">
        <f>IF(H$6&lt;=Reporting_Year,"Actuals","N/A")</f>
        <v>N/A</v>
      </c>
      <c r="I66" s="302" t="str">
        <f>IF(I$6&lt;=Reporting_Year,"Actuals","N/A")</f>
        <v>N/A</v>
      </c>
      <c r="J66" s="103"/>
      <c r="K66" s="103"/>
      <c r="L66" s="103"/>
      <c r="M66" s="103"/>
      <c r="N66" s="103"/>
    </row>
    <row r="67" spans="1:14" s="303" customFormat="1">
      <c r="A67" s="103"/>
      <c r="B67" s="79"/>
      <c r="C67" s="79"/>
      <c r="D67" s="29"/>
      <c r="E67" s="103"/>
      <c r="F67" s="103"/>
      <c r="G67" s="103"/>
      <c r="H67" s="103"/>
      <c r="I67" s="103"/>
      <c r="J67" s="103"/>
      <c r="K67" s="103"/>
      <c r="L67" s="103"/>
      <c r="M67" s="103"/>
      <c r="N67" s="103"/>
    </row>
    <row r="68" spans="1:14" s="303" customFormat="1">
      <c r="A68" s="103"/>
      <c r="B68" s="310" t="s">
        <v>525</v>
      </c>
      <c r="C68" s="79"/>
      <c r="D68" s="29" t="s">
        <v>507</v>
      </c>
      <c r="E68" s="409">
        <f t="shared" ref="E68:I68" si="8">E59</f>
        <v>514.4</v>
      </c>
      <c r="F68" s="409">
        <f t="shared" si="8"/>
        <v>0</v>
      </c>
      <c r="G68" s="409">
        <f t="shared" si="8"/>
        <v>0</v>
      </c>
      <c r="H68" s="409">
        <f t="shared" si="8"/>
        <v>0</v>
      </c>
      <c r="I68" s="409">
        <f t="shared" si="8"/>
        <v>0</v>
      </c>
      <c r="J68" s="103"/>
      <c r="K68" s="103"/>
      <c r="L68" s="103"/>
      <c r="M68" s="103"/>
      <c r="N68" s="103"/>
    </row>
    <row r="69" spans="1:14" s="303" customFormat="1">
      <c r="A69" s="103"/>
      <c r="B69" s="303" t="s">
        <v>526</v>
      </c>
      <c r="C69" s="79"/>
      <c r="D69" s="29" t="s">
        <v>507</v>
      </c>
      <c r="E69" s="409">
        <f>E25</f>
        <v>491.99418819636765</v>
      </c>
      <c r="F69" s="409">
        <f>F25</f>
        <v>0</v>
      </c>
      <c r="G69" s="409">
        <f t="shared" ref="G69:I69" si="9">G25</f>
        <v>0</v>
      </c>
      <c r="H69" s="409">
        <f t="shared" si="9"/>
        <v>0</v>
      </c>
      <c r="I69" s="409">
        <f t="shared" si="9"/>
        <v>0</v>
      </c>
      <c r="J69" s="103"/>
      <c r="K69" s="103"/>
      <c r="L69" s="103"/>
      <c r="M69" s="103"/>
      <c r="N69" s="103"/>
    </row>
    <row r="70" spans="1:14" s="303" customFormat="1">
      <c r="A70" s="103"/>
      <c r="B70" s="371"/>
      <c r="C70" s="79"/>
      <c r="D70" s="29"/>
      <c r="E70" s="373"/>
      <c r="F70" s="373"/>
      <c r="G70" s="373"/>
      <c r="H70" s="103"/>
      <c r="I70" s="103"/>
      <c r="J70" s="103"/>
      <c r="K70" s="103"/>
      <c r="L70" s="103"/>
      <c r="M70" s="103"/>
      <c r="N70" s="103"/>
    </row>
    <row r="71" spans="1:14">
      <c r="B71" s="374"/>
    </row>
    <row r="72" spans="1:14">
      <c r="B72" s="310" t="s">
        <v>527</v>
      </c>
      <c r="D72" s="29" t="s">
        <v>507</v>
      </c>
      <c r="E72" s="409">
        <f>'R3 - Totex - Reconciliation'!D129</f>
        <v>191.5</v>
      </c>
      <c r="F72" s="409">
        <f>'R3 - Totex - Reconciliation'!E129</f>
        <v>0</v>
      </c>
      <c r="G72" s="409">
        <f>'R3 - Totex - Reconciliation'!F129</f>
        <v>0</v>
      </c>
      <c r="H72" s="409">
        <f>'R3 - Totex - Reconciliation'!G129</f>
        <v>0</v>
      </c>
      <c r="I72" s="409">
        <f>'R3 - Totex - Reconciliation'!H129</f>
        <v>0</v>
      </c>
    </row>
    <row r="73" spans="1:14">
      <c r="B73" s="375" t="s">
        <v>528</v>
      </c>
      <c r="D73" s="103"/>
    </row>
    <row r="74" spans="1:14" ht="8.1" customHeight="1">
      <c r="B74" s="103"/>
      <c r="D74" s="103"/>
    </row>
    <row r="75" spans="1:14" ht="12.6" customHeight="1">
      <c r="B75" s="303" t="s">
        <v>529</v>
      </c>
      <c r="D75" s="29" t="s">
        <v>507</v>
      </c>
      <c r="E75" s="410">
        <f>'R3 - Totex - Reconciliation'!D150</f>
        <v>30.543400192528651</v>
      </c>
      <c r="F75" s="410">
        <f>'R3 - Totex - Reconciliation'!E150</f>
        <v>0</v>
      </c>
      <c r="G75" s="410">
        <f>'R3 - Totex - Reconciliation'!F150</f>
        <v>0</v>
      </c>
      <c r="H75" s="410">
        <f>'R3 - Totex - Reconciliation'!G150</f>
        <v>0</v>
      </c>
      <c r="I75" s="410">
        <f>'R3 - Totex - Reconciliation'!H150</f>
        <v>0</v>
      </c>
    </row>
    <row r="76" spans="1:14">
      <c r="B76" s="103" t="s">
        <v>530</v>
      </c>
      <c r="D76" s="29" t="s">
        <v>507</v>
      </c>
      <c r="E76" s="365">
        <v>0</v>
      </c>
      <c r="F76" s="365"/>
      <c r="G76" s="365"/>
      <c r="H76" s="365"/>
      <c r="I76" s="365"/>
    </row>
    <row r="77" spans="1:14" ht="5.0999999999999996" customHeight="1">
      <c r="B77" s="103"/>
      <c r="D77" s="79"/>
      <c r="E77" s="79"/>
      <c r="F77" s="79"/>
      <c r="G77" s="79"/>
      <c r="H77" s="79"/>
      <c r="I77" s="79"/>
    </row>
    <row r="78" spans="1:14">
      <c r="B78" s="303" t="s">
        <v>531</v>
      </c>
      <c r="D78" s="29" t="s">
        <v>507</v>
      </c>
      <c r="E78" s="409">
        <f>'R3 - Totex - Reconciliation'!D129+'R3 - Totex - Reconciliation'!D150+E76</f>
        <v>222.04340019252865</v>
      </c>
      <c r="F78" s="411">
        <f>'R3 - Totex - Reconciliation'!E129+'R3 - Totex - Reconciliation'!E150+F76</f>
        <v>0</v>
      </c>
      <c r="G78" s="411">
        <f>'R3 - Totex - Reconciliation'!F129+'R3 - Totex - Reconciliation'!F150+G76</f>
        <v>0</v>
      </c>
      <c r="H78" s="411">
        <f>'R3 - Totex - Reconciliation'!G129+'R3 - Totex - Reconciliation'!G150+H76</f>
        <v>0</v>
      </c>
      <c r="I78" s="411">
        <f>'R3 - Totex - Reconciliation'!H129+'R3 - Totex - Reconciliation'!H150+I76</f>
        <v>0</v>
      </c>
      <c r="K78" s="79"/>
      <c r="N78" s="79"/>
    </row>
    <row r="79" spans="1:14">
      <c r="B79" s="375" t="s">
        <v>532</v>
      </c>
      <c r="D79" s="29" t="s">
        <v>507</v>
      </c>
      <c r="E79" s="412" t="str">
        <f>IF(ABS(E78-SUM(E72,E75,E76))&lt;=materiality_threshold,"ok","error")</f>
        <v>ok</v>
      </c>
      <c r="F79" s="412" t="str">
        <f>IF(ABS(F78-SUM(F72,F75,F76))&lt;=materiality_threshold,"ok","error")</f>
        <v>ok</v>
      </c>
      <c r="G79" s="412" t="str">
        <f>IF(ABS(G78-SUM(G72,G75,G76))&lt;=materiality_threshold,"ok","error")</f>
        <v>ok</v>
      </c>
      <c r="H79" s="412" t="str">
        <f>IF(ABS(H78-SUM(H72,H75,H76))&lt;=materiality_threshold,"ok","error")</f>
        <v>ok</v>
      </c>
      <c r="I79" s="412" t="str">
        <f>IF(ABS(I78-SUM(I72,I75,I76))&lt;=materiality_threshold,"ok","error")</f>
        <v>ok</v>
      </c>
    </row>
    <row r="80" spans="1:14">
      <c r="B80" s="103"/>
      <c r="E80" s="29"/>
      <c r="F80" s="29"/>
      <c r="G80" s="29"/>
      <c r="H80" s="29"/>
      <c r="I80" s="29"/>
    </row>
    <row r="81" spans="2:13">
      <c r="B81" s="310" t="s">
        <v>533</v>
      </c>
      <c r="D81" s="29" t="s">
        <v>507</v>
      </c>
      <c r="E81" s="413">
        <f>E68-E72</f>
        <v>322.89999999999998</v>
      </c>
      <c r="F81" s="413">
        <f>F68-F72</f>
        <v>0</v>
      </c>
      <c r="G81" s="413">
        <f>G68-G72</f>
        <v>0</v>
      </c>
      <c r="H81" s="413">
        <f>H68-H72</f>
        <v>0</v>
      </c>
      <c r="I81" s="413">
        <f>I68-I72</f>
        <v>0</v>
      </c>
    </row>
    <row r="82" spans="2:13">
      <c r="B82" s="376" t="s">
        <v>534</v>
      </c>
      <c r="D82" s="29" t="s">
        <v>507</v>
      </c>
      <c r="E82" s="413">
        <f>E69-E78</f>
        <v>269.95078800383897</v>
      </c>
      <c r="F82" s="413">
        <f>F69-F78</f>
        <v>0</v>
      </c>
      <c r="G82" s="413">
        <f>G69-G78</f>
        <v>0</v>
      </c>
      <c r="H82" s="413">
        <f>H69-H78</f>
        <v>0</v>
      </c>
      <c r="I82" s="413">
        <f>I69-I78</f>
        <v>0</v>
      </c>
    </row>
    <row r="84" spans="2:13">
      <c r="B84" s="310" t="s">
        <v>535</v>
      </c>
      <c r="D84" s="29" t="s">
        <v>507</v>
      </c>
      <c r="E84" s="411">
        <f>'R3 - Totex - Reconciliation'!D124</f>
        <v>126</v>
      </c>
      <c r="F84" s="411">
        <f>'R3 - Totex - Reconciliation'!E124</f>
        <v>0</v>
      </c>
      <c r="G84" s="411">
        <f>'R3 - Totex - Reconciliation'!F124</f>
        <v>0</v>
      </c>
      <c r="H84" s="411">
        <f>'R3 - Totex - Reconciliation'!G124</f>
        <v>0</v>
      </c>
      <c r="I84" s="411">
        <f>'R3 - Totex - Reconciliation'!H124</f>
        <v>0</v>
      </c>
    </row>
    <row r="85" spans="2:13" ht="15.95" customHeight="1">
      <c r="B85" s="375" t="s">
        <v>528</v>
      </c>
    </row>
    <row r="86" spans="2:13" ht="21.95" customHeight="1">
      <c r="B86" s="103" t="s">
        <v>536</v>
      </c>
      <c r="D86" s="103"/>
    </row>
    <row r="87" spans="2:13">
      <c r="B87" s="353" t="s">
        <v>537</v>
      </c>
      <c r="D87" s="29" t="s">
        <v>507</v>
      </c>
      <c r="E87" s="377">
        <v>-4.6036084442514377E-2</v>
      </c>
      <c r="F87" s="377">
        <v>0</v>
      </c>
      <c r="G87" s="377">
        <v>0</v>
      </c>
      <c r="H87" s="377">
        <v>0</v>
      </c>
      <c r="I87" s="377">
        <v>0</v>
      </c>
    </row>
    <row r="88" spans="2:13">
      <c r="B88" s="366" t="s">
        <v>836</v>
      </c>
      <c r="C88" s="366"/>
      <c r="D88" s="29" t="s">
        <v>507</v>
      </c>
      <c r="E88" s="377">
        <v>0</v>
      </c>
      <c r="F88" s="365"/>
      <c r="G88" s="365"/>
      <c r="H88" s="365"/>
      <c r="I88" s="365"/>
    </row>
    <row r="89" spans="2:13">
      <c r="B89" s="353" t="s">
        <v>538</v>
      </c>
      <c r="D89" s="29" t="s">
        <v>507</v>
      </c>
      <c r="E89" s="414">
        <f>SUM(E87:E88)</f>
        <v>-4.6036084442514377E-2</v>
      </c>
      <c r="F89" s="414">
        <f t="shared" ref="F89:I89" si="10">SUM(F87:F88)</f>
        <v>0</v>
      </c>
      <c r="G89" s="414">
        <f t="shared" si="10"/>
        <v>0</v>
      </c>
      <c r="H89" s="414">
        <f t="shared" si="10"/>
        <v>0</v>
      </c>
      <c r="I89" s="414">
        <f t="shared" si="10"/>
        <v>0</v>
      </c>
    </row>
    <row r="90" spans="2:13" ht="5.0999999999999996" customHeight="1">
      <c r="B90" s="353"/>
      <c r="D90" s="79"/>
      <c r="E90" s="79"/>
      <c r="F90" s="79"/>
      <c r="G90" s="79"/>
      <c r="H90" s="79"/>
      <c r="I90" s="79"/>
      <c r="J90" s="79"/>
      <c r="K90" s="79"/>
      <c r="L90" s="79"/>
      <c r="M90" s="79"/>
    </row>
    <row r="91" spans="2:13">
      <c r="B91" s="303" t="s">
        <v>539</v>
      </c>
      <c r="D91" s="29" t="s">
        <v>507</v>
      </c>
      <c r="E91" s="415">
        <f>SUM(E84,E89)</f>
        <v>125.95396391555748</v>
      </c>
      <c r="F91" s="415">
        <f t="shared" ref="F91:I91" si="11">SUM(F84,F89)</f>
        <v>0</v>
      </c>
      <c r="G91" s="415">
        <f t="shared" si="11"/>
        <v>0</v>
      </c>
      <c r="H91" s="415">
        <f t="shared" si="11"/>
        <v>0</v>
      </c>
      <c r="I91" s="415">
        <f t="shared" si="11"/>
        <v>0</v>
      </c>
    </row>
    <row r="92" spans="2:13">
      <c r="B92" s="103"/>
      <c r="C92" s="103"/>
      <c r="D92" s="103"/>
    </row>
    <row r="93" spans="2:13">
      <c r="B93" s="378" t="s">
        <v>540</v>
      </c>
      <c r="C93" s="379"/>
      <c r="D93" s="287" t="s">
        <v>507</v>
      </c>
      <c r="E93" s="407">
        <f>E81-E84</f>
        <v>196.89999999999998</v>
      </c>
      <c r="F93" s="407">
        <f t="shared" ref="F93:I93" si="12">F81-F84</f>
        <v>0</v>
      </c>
      <c r="G93" s="407">
        <f t="shared" si="12"/>
        <v>0</v>
      </c>
      <c r="H93" s="407">
        <f t="shared" si="12"/>
        <v>0</v>
      </c>
      <c r="I93" s="407">
        <f t="shared" si="12"/>
        <v>0</v>
      </c>
    </row>
    <row r="94" spans="2:13">
      <c r="B94" s="380" t="s">
        <v>541</v>
      </c>
      <c r="D94" s="29" t="s">
        <v>507</v>
      </c>
      <c r="E94" s="415">
        <f>E82-E91</f>
        <v>143.99682408828147</v>
      </c>
      <c r="F94" s="415">
        <f t="shared" ref="F94:I94" si="13">F82-F91</f>
        <v>0</v>
      </c>
      <c r="G94" s="415">
        <f t="shared" si="13"/>
        <v>0</v>
      </c>
      <c r="H94" s="415">
        <f t="shared" si="13"/>
        <v>0</v>
      </c>
      <c r="I94" s="415">
        <f t="shared" si="13"/>
        <v>0</v>
      </c>
    </row>
    <row r="95" spans="2:13">
      <c r="B95" s="380"/>
      <c r="E95" s="381"/>
      <c r="F95" s="381"/>
      <c r="G95" s="381"/>
      <c r="H95" s="381"/>
      <c r="I95" s="382"/>
    </row>
    <row r="96" spans="2:13">
      <c r="B96" s="383" t="s">
        <v>542</v>
      </c>
      <c r="D96" s="29" t="s">
        <v>507</v>
      </c>
      <c r="E96" s="416">
        <f>'R5 - Financing'!D9</f>
        <v>96.097776910000007</v>
      </c>
      <c r="F96" s="416">
        <f>'R5 - Financing'!E9</f>
        <v>100.35478799541437</v>
      </c>
      <c r="G96" s="416">
        <f>'R5 - Financing'!F9</f>
        <v>93.558120331432519</v>
      </c>
      <c r="H96" s="416">
        <f>'R5 - Financing'!G9</f>
        <v>87.535458501826412</v>
      </c>
      <c r="I96" s="416">
        <f>'R5 - Financing'!H9</f>
        <v>75.163260514817324</v>
      </c>
    </row>
    <row r="97" spans="2:9">
      <c r="B97" s="384" t="s">
        <v>543</v>
      </c>
      <c r="D97" s="29" t="s">
        <v>507</v>
      </c>
      <c r="E97" s="416">
        <f>'R5 - Financing'!D29</f>
        <v>92.817146780000002</v>
      </c>
      <c r="F97" s="416">
        <f>'R5 - Financing'!E29</f>
        <v>100.35478799541437</v>
      </c>
      <c r="G97" s="416">
        <f>'R5 - Financing'!F29</f>
        <v>93.558120331432519</v>
      </c>
      <c r="H97" s="416">
        <f>'R5 - Financing'!G29</f>
        <v>87.535458501826412</v>
      </c>
      <c r="I97" s="416">
        <f>'R5 - Financing'!H29</f>
        <v>75.163260514817324</v>
      </c>
    </row>
    <row r="98" spans="2:9">
      <c r="B98" s="385" t="s">
        <v>544</v>
      </c>
      <c r="D98" s="29" t="s">
        <v>507</v>
      </c>
      <c r="E98" s="415">
        <f>E96-E97</f>
        <v>3.2806301300000058</v>
      </c>
      <c r="F98" s="415">
        <f>F96-F97</f>
        <v>0</v>
      </c>
      <c r="G98" s="415">
        <f>G96-G97</f>
        <v>0</v>
      </c>
      <c r="H98" s="415">
        <f>H96-H97</f>
        <v>0</v>
      </c>
      <c r="I98" s="417">
        <f>I96-I97</f>
        <v>0</v>
      </c>
    </row>
    <row r="99" spans="2:9">
      <c r="B99" s="380"/>
      <c r="E99" s="381"/>
      <c r="F99" s="381"/>
      <c r="G99" s="381"/>
      <c r="H99" s="381"/>
      <c r="I99" s="382"/>
    </row>
    <row r="100" spans="2:9">
      <c r="B100" s="383" t="s">
        <v>545</v>
      </c>
      <c r="D100" s="29" t="s">
        <v>507</v>
      </c>
      <c r="E100" s="365">
        <v>32</v>
      </c>
      <c r="F100" s="365"/>
      <c r="G100" s="365"/>
      <c r="H100" s="365"/>
      <c r="I100" s="365"/>
    </row>
    <row r="101" spans="2:9">
      <c r="B101" s="383" t="s">
        <v>546</v>
      </c>
      <c r="D101" s="29" t="s">
        <v>507</v>
      </c>
      <c r="E101" s="365">
        <v>-44.9</v>
      </c>
      <c r="F101" s="365"/>
      <c r="G101" s="365"/>
      <c r="H101" s="365"/>
      <c r="I101" s="365"/>
    </row>
    <row r="102" spans="2:9">
      <c r="B102" s="383" t="s">
        <v>547</v>
      </c>
      <c r="D102" s="29" t="s">
        <v>507</v>
      </c>
      <c r="E102" s="407">
        <f>SUM(E100:E101)</f>
        <v>-12.899999999999999</v>
      </c>
      <c r="F102" s="407">
        <f t="shared" ref="F102:I102" si="14">SUM(F100:F101)</f>
        <v>0</v>
      </c>
      <c r="G102" s="407">
        <f t="shared" si="14"/>
        <v>0</v>
      </c>
      <c r="H102" s="407">
        <f t="shared" si="14"/>
        <v>0</v>
      </c>
      <c r="I102" s="407">
        <f t="shared" si="14"/>
        <v>0</v>
      </c>
    </row>
    <row r="103" spans="2:9">
      <c r="B103" s="384" t="s">
        <v>548</v>
      </c>
      <c r="D103" s="29" t="s">
        <v>507</v>
      </c>
      <c r="E103" s="416">
        <f>Adjusted_regulated_tax_liability</f>
        <v>6.1171878275940372</v>
      </c>
      <c r="F103" s="416">
        <f>Adjusted_regulated_tax_liability</f>
        <v>0</v>
      </c>
      <c r="G103" s="416">
        <f>Adjusted_regulated_tax_liability</f>
        <v>1.173884425535924</v>
      </c>
      <c r="H103" s="416">
        <f>Adjusted_regulated_tax_liability</f>
        <v>3.0189478397371232</v>
      </c>
      <c r="I103" s="416">
        <f>Adjusted_regulated_tax_liability</f>
        <v>1.1997597877320061</v>
      </c>
    </row>
    <row r="104" spans="2:9">
      <c r="B104" s="385" t="s">
        <v>544</v>
      </c>
      <c r="D104" s="29" t="s">
        <v>507</v>
      </c>
      <c r="E104" s="418">
        <f>E102-E103</f>
        <v>-19.017187827594036</v>
      </c>
      <c r="F104" s="418">
        <f t="shared" ref="F104:I104" si="15">F102-F103</f>
        <v>0</v>
      </c>
      <c r="G104" s="418">
        <f t="shared" si="15"/>
        <v>-1.173884425535924</v>
      </c>
      <c r="H104" s="418">
        <f t="shared" si="15"/>
        <v>-3.0189478397371232</v>
      </c>
      <c r="I104" s="418">
        <f t="shared" si="15"/>
        <v>-1.1997597877320061</v>
      </c>
    </row>
    <row r="105" spans="2:9">
      <c r="B105" s="386"/>
      <c r="E105" s="381"/>
      <c r="F105" s="381"/>
      <c r="G105" s="381"/>
      <c r="H105" s="381"/>
      <c r="I105" s="382"/>
    </row>
    <row r="106" spans="2:9">
      <c r="B106" s="387" t="s">
        <v>549</v>
      </c>
      <c r="D106" s="29" t="s">
        <v>507</v>
      </c>
      <c r="E106" s="407">
        <f>IFERROR(E93-E96-E100,0)</f>
        <v>68.80222308999997</v>
      </c>
      <c r="F106" s="407">
        <f>IFERROR(F93-F96-F100,0)</f>
        <v>-100.35478799541437</v>
      </c>
      <c r="G106" s="407">
        <f>IFERROR(G93-G96-G100,0)</f>
        <v>-93.558120331432519</v>
      </c>
      <c r="H106" s="407">
        <f>IFERROR(H93-H96-H100,0)</f>
        <v>-87.535458501826412</v>
      </c>
      <c r="I106" s="407">
        <f>IFERROR(I93-I96-I100,0)</f>
        <v>-75.163260514817324</v>
      </c>
    </row>
    <row r="107" spans="2:9">
      <c r="B107" s="388" t="s">
        <v>550</v>
      </c>
      <c r="D107" s="29" t="s">
        <v>507</v>
      </c>
      <c r="E107" s="407">
        <f>IFERROR(E94-E97-E103,0)</f>
        <v>45.062489480687432</v>
      </c>
      <c r="F107" s="407">
        <f>IFERROR(F94-F97-F103,0)</f>
        <v>-100.35478799541437</v>
      </c>
      <c r="G107" s="407">
        <f>IFERROR(G94-G97-G103,0)</f>
        <v>-94.73200475696845</v>
      </c>
      <c r="H107" s="407">
        <f>IFERROR(H94-H97-H103,0)</f>
        <v>-90.554406341563535</v>
      </c>
      <c r="I107" s="407">
        <f>IFERROR(I94-I97-I103,0)</f>
        <v>-76.36302030254933</v>
      </c>
    </row>
    <row r="108" spans="2:9">
      <c r="B108" s="385" t="s">
        <v>544</v>
      </c>
      <c r="D108" s="29" t="s">
        <v>507</v>
      </c>
      <c r="E108" s="415">
        <f>IFERROR(E106-E107,0)</f>
        <v>23.739733609312538</v>
      </c>
      <c r="F108" s="415">
        <f>IFERROR(F106-F107,0)</f>
        <v>0</v>
      </c>
      <c r="G108" s="415">
        <f>IFERROR(G106-G107,0)</f>
        <v>1.1738844255359311</v>
      </c>
      <c r="H108" s="415">
        <f>IFERROR(H106-H107,0)</f>
        <v>3.0189478397371232</v>
      </c>
      <c r="I108" s="415">
        <f>IFERROR(I106-I107,0)</f>
        <v>1.1997597877320061</v>
      </c>
    </row>
    <row r="109" spans="2:9">
      <c r="B109" s="386"/>
      <c r="C109" s="103"/>
      <c r="D109" s="103"/>
      <c r="I109" s="389"/>
    </row>
    <row r="110" spans="2:9">
      <c r="B110" s="390"/>
      <c r="C110" s="391"/>
      <c r="D110" s="191"/>
      <c r="E110" s="192"/>
      <c r="F110" s="191"/>
      <c r="G110" s="191"/>
      <c r="H110" s="191"/>
      <c r="I110" s="193"/>
    </row>
    <row r="111" spans="2:9">
      <c r="B111" s="103"/>
      <c r="D111" s="103"/>
    </row>
    <row r="112" spans="2:9">
      <c r="B112" s="103"/>
      <c r="C112" s="103"/>
      <c r="D112" s="103"/>
    </row>
    <row r="113" spans="2:9">
      <c r="B113" s="392"/>
      <c r="D113" s="103"/>
    </row>
    <row r="114" spans="2:9">
      <c r="B114" s="393" t="s">
        <v>551</v>
      </c>
      <c r="C114" s="103"/>
      <c r="D114" s="103"/>
    </row>
    <row r="115" spans="2:9">
      <c r="B115" s="824"/>
      <c r="C115" s="825"/>
      <c r="D115" s="825"/>
      <c r="E115" s="825"/>
      <c r="F115" s="825"/>
      <c r="G115" s="394"/>
      <c r="H115" s="394"/>
      <c r="I115" s="395"/>
    </row>
    <row r="116" spans="2:9">
      <c r="B116" s="396"/>
      <c r="C116" s="397"/>
      <c r="D116" s="398"/>
      <c r="E116" s="399"/>
      <c r="F116" s="399"/>
      <c r="G116" s="399"/>
      <c r="H116" s="399"/>
      <c r="I116" s="400"/>
    </row>
    <row r="117" spans="2:9">
      <c r="B117" s="396"/>
      <c r="C117" s="397"/>
      <c r="D117" s="398"/>
      <c r="E117" s="399"/>
      <c r="F117" s="399"/>
      <c r="G117" s="399"/>
      <c r="H117" s="399"/>
      <c r="I117" s="400"/>
    </row>
    <row r="118" spans="2:9">
      <c r="B118" s="396"/>
      <c r="C118" s="397"/>
      <c r="D118" s="398"/>
      <c r="E118" s="399"/>
      <c r="F118" s="399"/>
      <c r="G118" s="399"/>
      <c r="H118" s="399"/>
      <c r="I118" s="400"/>
    </row>
    <row r="119" spans="2:9">
      <c r="B119" s="396"/>
      <c r="C119" s="397"/>
      <c r="D119" s="398"/>
      <c r="E119" s="399"/>
      <c r="F119" s="399"/>
      <c r="G119" s="399"/>
      <c r="H119" s="399"/>
      <c r="I119" s="400"/>
    </row>
    <row r="120" spans="2:9">
      <c r="B120" s="401"/>
      <c r="C120" s="402"/>
      <c r="D120" s="403"/>
      <c r="E120" s="404"/>
      <c r="F120" s="404"/>
      <c r="G120" s="404"/>
      <c r="H120" s="404"/>
      <c r="I120" s="405"/>
    </row>
    <row r="122" spans="2:9" ht="13.5" customHeight="1"/>
    <row r="128" spans="2:9" ht="15" customHeight="1"/>
    <row r="142" ht="91.5" customHeight="1"/>
  </sheetData>
  <sheetProtection insertRows="0" autoFilter="0" pivotTables="0"/>
  <mergeCells count="1">
    <mergeCell ref="B115:F115"/>
  </mergeCells>
  <conditionalFormatting sqref="C36">
    <cfRule type="expression" dxfId="79" priority="53">
      <formula>C$5="Forecast"</formula>
    </cfRule>
  </conditionalFormatting>
  <conditionalFormatting sqref="E6:H6">
    <cfRule type="expression" dxfId="78" priority="20">
      <formula>AND(E$5="Actuals",F$5="Forecast")</formula>
    </cfRule>
  </conditionalFormatting>
  <conditionalFormatting sqref="E66:H66">
    <cfRule type="expression" dxfId="77" priority="23">
      <formula>AND(E$5="Actuals",F$5="N/A")</formula>
    </cfRule>
  </conditionalFormatting>
  <conditionalFormatting sqref="E7:I7">
    <cfRule type="expression" dxfId="76" priority="22">
      <formula>AND(E$5="Actuals",F$5="Forecast")</formula>
    </cfRule>
  </conditionalFormatting>
  <conditionalFormatting sqref="E21:I21 E25:I25 E58:I60 E66:I66 E68:I69 E72:I72 E91:I91 E93:I94 E96:I98 E13:I19 E28:I37 E40:I56 E87:I89 E100:I104">
    <cfRule type="expression" dxfId="75" priority="17">
      <formula>E$5="Forecast"</formula>
    </cfRule>
  </conditionalFormatting>
  <conditionalFormatting sqref="E25:I25">
    <cfRule type="expression" priority="5">
      <formula>E$5="Forecast"</formula>
    </cfRule>
    <cfRule type="expression" priority="6">
      <formula>$E3="Forecast"</formula>
    </cfRule>
  </conditionalFormatting>
  <conditionalFormatting sqref="E28:I36 E40:I55">
    <cfRule type="expression" priority="18">
      <formula>E$5="Forecast"</formula>
    </cfRule>
  </conditionalFormatting>
  <conditionalFormatting sqref="E28:I36">
    <cfRule type="expression" priority="19">
      <formula>$E6="Forecast"</formula>
    </cfRule>
  </conditionalFormatting>
  <conditionalFormatting sqref="E60:I60">
    <cfRule type="expression" dxfId="74" priority="57">
      <formula>E$5="Forecast"</formula>
    </cfRule>
  </conditionalFormatting>
  <conditionalFormatting sqref="E68:I70 E72:I72 E87:I87 E88">
    <cfRule type="expression" dxfId="73" priority="49">
      <formula>D$12="N/A"</formula>
    </cfRule>
  </conditionalFormatting>
  <conditionalFormatting sqref="E75:I76">
    <cfRule type="expression" dxfId="72" priority="9">
      <formula>E$5="Forecast"</formula>
    </cfRule>
  </conditionalFormatting>
  <conditionalFormatting sqref="E78:I78">
    <cfRule type="expression" dxfId="71" priority="4">
      <formula>D$12="N/A"</formula>
    </cfRule>
  </conditionalFormatting>
  <conditionalFormatting sqref="E78:I79">
    <cfRule type="expression" dxfId="70" priority="3">
      <formula>E$5="Forecast"</formula>
    </cfRule>
  </conditionalFormatting>
  <conditionalFormatting sqref="E84:I84">
    <cfRule type="expression" dxfId="69" priority="1">
      <formula>E$5="Forecast"</formula>
    </cfRule>
    <cfRule type="expression" dxfId="68" priority="2">
      <formula>D$12="N/A"</formula>
    </cfRule>
  </conditionalFormatting>
  <conditionalFormatting sqref="E106:I108">
    <cfRule type="expression" dxfId="67" priority="15">
      <formula>E$5="Forecast"</formula>
    </cfRule>
  </conditionalFormatting>
  <conditionalFormatting sqref="I6">
    <cfRule type="expression" dxfId="66" priority="21">
      <formula>AND(I$5="Actuals",#REF!="Forecast")</formula>
    </cfRule>
  </conditionalFormatting>
  <conditionalFormatting sqref="I66">
    <cfRule type="expression" dxfId="65" priority="235">
      <formula>AND(I$5="Actuals",#REF!="N/A")</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&amp;C_x000D_&amp;1#&amp;"Calibri"&amp;12&amp;K008000 Internal Use</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0" id="{F64DC2A1-1BFC-4A45-BEAE-BCD4DDABF2EA}">
            <xm:f>'RFPR cover'!$C$7="ESO"</xm:f>
            <x14:dxf>
              <fill>
                <patternFill>
                  <fgColor auto="1"/>
                  <bgColor theme="7" tint="0.79998168889431442"/>
                </patternFill>
              </fill>
            </x14:dxf>
          </x14:cfRule>
          <xm:sqref>E25:I25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T243"/>
  <sheetViews>
    <sheetView zoomScaleNormal="100" workbookViewId="0"/>
  </sheetViews>
  <sheetFormatPr defaultColWidth="9.125" defaultRowHeight="12.75"/>
  <cols>
    <col min="1" max="1" width="8.375" style="303" customWidth="1"/>
    <col min="2" max="2" width="64.5" style="353" customWidth="1"/>
    <col min="3" max="3" width="13.375" style="29" customWidth="1"/>
    <col min="4" max="8" width="11.125" style="303" customWidth="1"/>
    <col min="9" max="10" width="12.875" style="303" customWidth="1"/>
    <col min="11" max="16384" width="9.125" style="303"/>
  </cols>
  <sheetData>
    <row r="1" spans="1:19" s="103" customFormat="1" ht="20.25">
      <c r="A1" s="288" t="s">
        <v>552</v>
      </c>
      <c r="B1" s="289"/>
      <c r="C1" s="419"/>
      <c r="D1" s="291"/>
      <c r="E1" s="291"/>
      <c r="F1" s="291"/>
      <c r="G1" s="291"/>
      <c r="H1" s="291"/>
      <c r="I1" s="292"/>
      <c r="J1" s="292"/>
      <c r="K1" s="420"/>
    </row>
    <row r="2" spans="1:19" s="103" customFormat="1" ht="20.25">
      <c r="A2" s="293" t="str">
        <f>Licensee</f>
        <v>SPMW</v>
      </c>
      <c r="B2" s="294"/>
      <c r="C2" s="350"/>
      <c r="D2" s="296"/>
      <c r="E2" s="296"/>
      <c r="F2" s="296"/>
      <c r="G2" s="296"/>
      <c r="H2" s="296"/>
      <c r="I2" s="297"/>
      <c r="J2" s="297"/>
      <c r="K2" s="298"/>
    </row>
    <row r="3" spans="1:19" s="103" customFormat="1" ht="20.25">
      <c r="A3" s="295">
        <f>Reporting_Year</f>
        <v>2024</v>
      </c>
      <c r="B3" s="351"/>
      <c r="C3" s="352"/>
      <c r="D3" s="299"/>
      <c r="E3" s="299"/>
      <c r="F3" s="299"/>
      <c r="G3" s="299"/>
      <c r="H3" s="299"/>
      <c r="I3" s="300"/>
      <c r="J3" s="300"/>
      <c r="K3" s="301"/>
    </row>
    <row r="4" spans="1:19" ht="12.75" customHeight="1"/>
    <row r="5" spans="1:19" ht="30" customHeight="1">
      <c r="D5" s="302" t="str">
        <f>IF(D6&lt;=Reporting_Year,"Actuals","Forecast")</f>
        <v>Actuals</v>
      </c>
      <c r="E5" s="302" t="str">
        <f t="shared" ref="E5:H5" si="0">IF(E6&lt;=Reporting_Year,"Actuals","Forecast")</f>
        <v>Forecast</v>
      </c>
      <c r="F5" s="302" t="str">
        <f t="shared" si="0"/>
        <v>Forecast</v>
      </c>
      <c r="G5" s="302" t="str">
        <f t="shared" si="0"/>
        <v>Forecast</v>
      </c>
      <c r="H5" s="302" t="str">
        <f t="shared" si="0"/>
        <v>Forecast</v>
      </c>
    </row>
    <row r="6" spans="1:19" ht="27.75" customHeight="1">
      <c r="D6" s="421">
        <f>'RFPR cover'!$C$6</f>
        <v>2024</v>
      </c>
      <c r="E6" s="422">
        <f>D6+1</f>
        <v>2025</v>
      </c>
      <c r="F6" s="422">
        <f t="shared" ref="F6:H6" si="1">E6+1</f>
        <v>2026</v>
      </c>
      <c r="G6" s="422">
        <f t="shared" si="1"/>
        <v>2027</v>
      </c>
      <c r="H6" s="422">
        <f t="shared" si="1"/>
        <v>2028</v>
      </c>
      <c r="I6" s="306" t="str">
        <f>"Cumulative to "&amp;'RFPR cover'!$C$9</f>
        <v>Cumulative to 2024</v>
      </c>
      <c r="J6" s="423" t="s">
        <v>483</v>
      </c>
    </row>
    <row r="7" spans="1:19">
      <c r="D7" s="307" t="str">
        <f>RIIO_2_start_date-1&amp;"/"&amp;RIGHT(RIIO_2_start_date,2)</f>
        <v>2023/24</v>
      </c>
      <c r="E7" s="307" t="str">
        <f>RIIO_2_start_date&amp;"/"&amp;RIGHT(RIIO_2_start_date+1,2)</f>
        <v>2024/25</v>
      </c>
      <c r="F7" s="307" t="str">
        <f>RIIO_2_start_date+1&amp;"/"&amp;RIGHT(RIIO_2_start_date+2,2)</f>
        <v>2025/26</v>
      </c>
      <c r="G7" s="307" t="str">
        <f>RIIO_2_start_date+2&amp;"/"&amp;RIGHT(RIIO_2_start_date+3,2)</f>
        <v>2026/27</v>
      </c>
      <c r="H7" s="307" t="str">
        <f>RIIO_2_start_date+3&amp;"/"&amp;RIGHT(RIIO_2_start_date+4,2)</f>
        <v>2027/28</v>
      </c>
    </row>
    <row r="8" spans="1:19">
      <c r="B8" s="424" t="s">
        <v>553</v>
      </c>
      <c r="C8" s="425"/>
      <c r="D8" s="425"/>
      <c r="E8" s="425"/>
      <c r="F8" s="425"/>
      <c r="G8" s="425"/>
      <c r="H8" s="426"/>
      <c r="I8" s="426"/>
      <c r="J8" s="426"/>
      <c r="K8" s="353"/>
    </row>
    <row r="9" spans="1:19">
      <c r="B9" s="427" t="s">
        <v>554</v>
      </c>
      <c r="C9" s="428"/>
      <c r="D9" s="428"/>
      <c r="E9" s="428"/>
      <c r="F9" s="428"/>
      <c r="G9" s="428"/>
      <c r="H9" s="428"/>
      <c r="I9" s="428"/>
      <c r="J9" s="428"/>
      <c r="K9" s="353"/>
      <c r="L9" s="353"/>
    </row>
    <row r="11" spans="1:19">
      <c r="B11" s="429" t="str">
        <f>IF(Sector="GD2","Capitalisation 1 totex (excluding repex)","Capitalisation 1 totex")</f>
        <v>Capitalisation 1 totex</v>
      </c>
      <c r="C11" s="430"/>
      <c r="D11" s="358"/>
      <c r="E11" s="358"/>
      <c r="F11" s="358"/>
      <c r="G11" s="358"/>
      <c r="H11" s="358"/>
      <c r="I11" s="358"/>
      <c r="J11" s="358"/>
      <c r="K11" s="353"/>
    </row>
    <row r="12" spans="1:19">
      <c r="B12" s="360"/>
      <c r="D12" s="431"/>
      <c r="E12" s="431"/>
      <c r="F12" s="431"/>
      <c r="G12" s="431"/>
      <c r="H12" s="431"/>
      <c r="I12" s="431"/>
      <c r="J12" s="431"/>
      <c r="K12" s="353"/>
    </row>
    <row r="13" spans="1:19">
      <c r="B13" s="79" t="s">
        <v>555</v>
      </c>
      <c r="C13" s="432" t="str">
        <f>Data!$C$9</f>
        <v>£m 20/21</v>
      </c>
      <c r="D13" s="433">
        <v>242.52123593015565</v>
      </c>
      <c r="E13" s="433">
        <v>333.99540577297546</v>
      </c>
      <c r="F13" s="433">
        <v>312.35581051566709</v>
      </c>
      <c r="G13" s="433">
        <v>306.41011476217591</v>
      </c>
      <c r="H13" s="433">
        <v>295.95745800243901</v>
      </c>
      <c r="I13" s="460">
        <f>SUM(D13:INDEX(D13:H13,0,MATCH('RFPR cover'!$C$9,$D$6:$H$6,0)))</f>
        <v>242.52123593015565</v>
      </c>
      <c r="J13" s="461">
        <f>SUM(D13:H13)</f>
        <v>1491.2400249834132</v>
      </c>
      <c r="K13" s="353"/>
    </row>
    <row r="14" spans="1:19" ht="17.100000000000001" customHeight="1">
      <c r="B14" s="434" t="s">
        <v>556</v>
      </c>
      <c r="C14" s="432" t="str">
        <f>Data!$C$9</f>
        <v>£m 20/21</v>
      </c>
      <c r="D14" s="433">
        <v>283.41697989797819</v>
      </c>
      <c r="E14" s="433">
        <v>310.97238147836191</v>
      </c>
      <c r="F14" s="433">
        <v>293.33288851216315</v>
      </c>
      <c r="G14" s="433">
        <v>263.31975413029642</v>
      </c>
      <c r="H14" s="433">
        <v>253.60218416232499</v>
      </c>
      <c r="I14" s="462">
        <f>SUM(D14:INDEX(D14:H14,0,MATCH('RFPR cover'!$C$9,$D$6:$H$6,0)))</f>
        <v>283.41697989797819</v>
      </c>
      <c r="J14" s="463">
        <f>SUM(D14:H14)</f>
        <v>1404.6441881811247</v>
      </c>
      <c r="K14" s="435"/>
    </row>
    <row r="15" spans="1:19">
      <c r="B15" s="78" t="s">
        <v>557</v>
      </c>
      <c r="C15" s="432" t="str">
        <f>Data!$C$9</f>
        <v>£m 20/21</v>
      </c>
      <c r="D15" s="459">
        <f>D14-D13</f>
        <v>40.89574396782254</v>
      </c>
      <c r="E15" s="459">
        <f>E14-E13</f>
        <v>-23.023024294613549</v>
      </c>
      <c r="F15" s="459">
        <f t="shared" ref="F15:J15" si="2">F14-F13</f>
        <v>-19.022922003503936</v>
      </c>
      <c r="G15" s="459">
        <f t="shared" si="2"/>
        <v>-43.090360631879491</v>
      </c>
      <c r="H15" s="459">
        <f t="shared" si="2"/>
        <v>-42.355273840114023</v>
      </c>
      <c r="I15" s="21">
        <f t="shared" si="2"/>
        <v>40.89574396782254</v>
      </c>
      <c r="J15" s="23">
        <f t="shared" si="2"/>
        <v>-86.595836802288431</v>
      </c>
      <c r="K15" s="826"/>
      <c r="L15" s="826"/>
      <c r="M15" s="826"/>
      <c r="N15" s="124"/>
      <c r="O15" s="124"/>
      <c r="P15" s="124"/>
      <c r="Q15" s="103"/>
      <c r="R15" s="103"/>
      <c r="S15" s="103"/>
    </row>
    <row r="16" spans="1:19">
      <c r="B16" s="78"/>
      <c r="C16" s="432"/>
      <c r="D16" s="436"/>
      <c r="E16" s="436"/>
      <c r="F16" s="436"/>
      <c r="G16" s="436"/>
      <c r="H16" s="436"/>
      <c r="I16" s="436"/>
      <c r="J16" s="436"/>
      <c r="K16" s="437"/>
      <c r="L16" s="437"/>
      <c r="M16" s="437"/>
      <c r="N16" s="437"/>
      <c r="O16" s="437"/>
      <c r="P16" s="437"/>
      <c r="Q16" s="103"/>
      <c r="R16" s="103"/>
      <c r="S16" s="103"/>
    </row>
    <row r="17" spans="2:19">
      <c r="B17" s="353" t="s">
        <v>558</v>
      </c>
      <c r="C17" s="29" t="s">
        <v>486</v>
      </c>
      <c r="D17" s="464">
        <f>INDEX(Data!$C$63:$C$91,MATCH('RFPR cover'!$C$7,Data!$B$63:$B$91,0),0)</f>
        <v>0.5</v>
      </c>
      <c r="E17" s="464">
        <f>INDEX(Data!$C$63:$C$91,MATCH('RFPR cover'!$C$7,Data!$B$63:$B$91,0),0)</f>
        <v>0.5</v>
      </c>
      <c r="F17" s="464">
        <f>INDEX(Data!$C$63:$C$91,MATCH('RFPR cover'!$C$7,Data!$B$63:$B$91,0),0)</f>
        <v>0.5</v>
      </c>
      <c r="G17" s="464">
        <f>INDEX(Data!$C$63:$C$91,MATCH('RFPR cover'!$C$7,Data!$B$63:$B$91,0),0)</f>
        <v>0.5</v>
      </c>
      <c r="H17" s="464">
        <f>INDEX(Data!$C$63:$C$91,MATCH('RFPR cover'!$C$7,Data!$B$63:$B$91,0),0)</f>
        <v>0.5</v>
      </c>
      <c r="I17" s="438"/>
      <c r="J17" s="438"/>
      <c r="K17" s="103"/>
      <c r="L17" s="103"/>
      <c r="M17" s="103"/>
      <c r="N17" s="103"/>
      <c r="O17" s="103"/>
      <c r="P17" s="103"/>
      <c r="Q17" s="103"/>
      <c r="R17" s="103"/>
      <c r="S17" s="103"/>
    </row>
    <row r="18" spans="2:19">
      <c r="K18" s="103"/>
      <c r="L18" s="103"/>
      <c r="M18" s="103"/>
      <c r="N18" s="103"/>
      <c r="O18" s="103"/>
      <c r="P18" s="103"/>
      <c r="Q18" s="103"/>
      <c r="R18" s="103"/>
      <c r="S18" s="103"/>
    </row>
    <row r="19" spans="2:19">
      <c r="B19" s="353" t="s">
        <v>559</v>
      </c>
      <c r="C19" s="432" t="str">
        <f>Data!$C$9</f>
        <v>£m 20/21</v>
      </c>
      <c r="D19" s="459">
        <f>D15*D17</f>
        <v>20.44787198391127</v>
      </c>
      <c r="E19" s="459">
        <f t="shared" ref="E19:H19" si="3">E15*E17</f>
        <v>-11.511512147306775</v>
      </c>
      <c r="F19" s="459">
        <f t="shared" si="3"/>
        <v>-9.5114610017519681</v>
      </c>
      <c r="G19" s="459">
        <f t="shared" si="3"/>
        <v>-21.545180315939746</v>
      </c>
      <c r="H19" s="459">
        <f t="shared" si="3"/>
        <v>-21.177636920057012</v>
      </c>
      <c r="I19" s="18">
        <f>SUM(D19:INDEX(D19:H19,0,MATCH('RFPR cover'!$C$9,$D$6:$H$6,0)))</f>
        <v>20.44787198391127</v>
      </c>
      <c r="J19" s="20">
        <f>SUM(D19:H19)</f>
        <v>-43.29791840114423</v>
      </c>
      <c r="K19" s="103"/>
      <c r="L19" s="103"/>
      <c r="M19" s="103"/>
      <c r="N19" s="103"/>
      <c r="O19" s="103"/>
      <c r="P19" s="103"/>
      <c r="Q19" s="103"/>
      <c r="R19" s="103"/>
      <c r="S19" s="103"/>
    </row>
    <row r="20" spans="2:19">
      <c r="B20" s="353" t="s">
        <v>560</v>
      </c>
      <c r="C20" s="432" t="str">
        <f>Data!$C$9</f>
        <v>£m 20/21</v>
      </c>
      <c r="D20" s="459">
        <f>D15*(1-D17)</f>
        <v>20.44787198391127</v>
      </c>
      <c r="E20" s="459">
        <f t="shared" ref="E20:H20" si="4">E15*(1-E17)</f>
        <v>-11.511512147306775</v>
      </c>
      <c r="F20" s="459">
        <f t="shared" si="4"/>
        <v>-9.5114610017519681</v>
      </c>
      <c r="G20" s="459">
        <f t="shared" si="4"/>
        <v>-21.545180315939746</v>
      </c>
      <c r="H20" s="459">
        <f t="shared" si="4"/>
        <v>-21.177636920057012</v>
      </c>
      <c r="I20" s="15">
        <f>SUM(D20:INDEX(D20:H20,0,MATCH('RFPR cover'!$C$9,$D$6:$H$6,0)))</f>
        <v>20.44787198391127</v>
      </c>
      <c r="J20" s="17">
        <f>SUM(D20:H20)</f>
        <v>-43.29791840114423</v>
      </c>
      <c r="L20" s="103"/>
      <c r="M20" s="103"/>
      <c r="N20" s="103"/>
      <c r="O20" s="103"/>
      <c r="P20" s="103"/>
      <c r="Q20" s="103"/>
      <c r="R20" s="103"/>
      <c r="S20" s="103"/>
    </row>
    <row r="21" spans="2:19">
      <c r="C21" s="353"/>
      <c r="D21" s="353"/>
      <c r="E21" s="353"/>
      <c r="F21" s="353"/>
      <c r="G21" s="353"/>
      <c r="H21" s="353"/>
      <c r="I21" s="353"/>
      <c r="J21" s="353"/>
      <c r="L21" s="103"/>
      <c r="M21" s="103"/>
      <c r="N21" s="103"/>
      <c r="O21" s="103"/>
      <c r="P21" s="103"/>
      <c r="Q21" s="103"/>
      <c r="R21" s="103"/>
      <c r="S21" s="103"/>
    </row>
    <row r="22" spans="2:19">
      <c r="B22" s="360" t="s">
        <v>561</v>
      </c>
      <c r="L22" s="103"/>
      <c r="M22" s="103"/>
      <c r="N22" s="103"/>
      <c r="O22" s="103"/>
      <c r="P22" s="103"/>
    </row>
    <row r="23" spans="2:19">
      <c r="B23" s="366" t="s">
        <v>837</v>
      </c>
      <c r="C23" s="432" t="str">
        <f>Data!$C$9</f>
        <v>£m 20/21</v>
      </c>
      <c r="D23" s="439">
        <v>-40.89574396782254</v>
      </c>
      <c r="E23" s="439">
        <v>23.023024294613549</v>
      </c>
      <c r="F23" s="439">
        <v>19.022922003503936</v>
      </c>
      <c r="G23" s="439">
        <v>43.090360631879491</v>
      </c>
      <c r="H23" s="439">
        <v>42.355273840114023</v>
      </c>
      <c r="I23" s="15">
        <f>SUM(D23:INDEX(D23:H23,0,MATCH('RFPR cover'!$C$9,$D$6:$H$6,0)))</f>
        <v>-40.89574396782254</v>
      </c>
      <c r="J23" s="17">
        <f t="shared" ref="J23:J28" si="5">SUM(D23:H23)</f>
        <v>86.59583680228846</v>
      </c>
      <c r="L23" s="103"/>
      <c r="M23" s="103"/>
      <c r="N23" s="103"/>
      <c r="O23" s="103"/>
      <c r="P23" s="103"/>
      <c r="Q23" s="103"/>
      <c r="R23" s="103"/>
      <c r="S23" s="103"/>
    </row>
    <row r="24" spans="2:19">
      <c r="B24" s="366" t="s">
        <v>838</v>
      </c>
      <c r="C24" s="432" t="str">
        <f>Data!$C$9</f>
        <v>£m 20/21</v>
      </c>
      <c r="D24" s="439">
        <v>0</v>
      </c>
      <c r="E24" s="439">
        <v>0</v>
      </c>
      <c r="F24" s="439">
        <v>0</v>
      </c>
      <c r="G24" s="439">
        <v>0</v>
      </c>
      <c r="H24" s="439">
        <v>0</v>
      </c>
      <c r="I24" s="15">
        <f>SUM(D24:INDEX(D24:H24,0,MATCH('RFPR cover'!$C$9,$D$6:$H$6,0)))</f>
        <v>0</v>
      </c>
      <c r="J24" s="17">
        <f t="shared" si="5"/>
        <v>0</v>
      </c>
      <c r="L24" s="103"/>
      <c r="M24" s="103"/>
      <c r="N24" s="103"/>
      <c r="O24" s="103"/>
      <c r="P24" s="103"/>
      <c r="Q24" s="103"/>
      <c r="R24" s="103"/>
      <c r="S24" s="103"/>
    </row>
    <row r="25" spans="2:19">
      <c r="B25" s="366" t="s">
        <v>838</v>
      </c>
      <c r="C25" s="432" t="str">
        <f>Data!$C$9</f>
        <v>£m 20/21</v>
      </c>
      <c r="D25" s="439">
        <v>0</v>
      </c>
      <c r="E25" s="439">
        <v>0</v>
      </c>
      <c r="F25" s="439">
        <v>0</v>
      </c>
      <c r="G25" s="439">
        <v>0</v>
      </c>
      <c r="H25" s="439">
        <v>0</v>
      </c>
      <c r="I25" s="15">
        <f>SUM(D25:INDEX(D25:H25,0,MATCH('RFPR cover'!$C$9,$D$6:$H$6,0)))</f>
        <v>0</v>
      </c>
      <c r="J25" s="17">
        <f t="shared" si="5"/>
        <v>0</v>
      </c>
      <c r="L25" s="103"/>
      <c r="M25" s="103"/>
      <c r="N25" s="103"/>
      <c r="O25" s="103"/>
      <c r="P25" s="103"/>
      <c r="Q25" s="103"/>
      <c r="R25" s="103"/>
      <c r="S25" s="103"/>
    </row>
    <row r="26" spans="2:19">
      <c r="B26" s="366" t="s">
        <v>838</v>
      </c>
      <c r="C26" s="432" t="str">
        <f>Data!$C$9</f>
        <v>£m 20/21</v>
      </c>
      <c r="D26" s="439">
        <v>0</v>
      </c>
      <c r="E26" s="439">
        <v>0</v>
      </c>
      <c r="F26" s="439">
        <v>0</v>
      </c>
      <c r="G26" s="439">
        <v>0</v>
      </c>
      <c r="H26" s="439">
        <v>0</v>
      </c>
      <c r="I26" s="15">
        <f>SUM(D26:INDEX(D26:H26,0,MATCH('RFPR cover'!$C$9,$D$6:$H$6,0)))</f>
        <v>0</v>
      </c>
      <c r="J26" s="17">
        <f t="shared" si="5"/>
        <v>0</v>
      </c>
      <c r="L26" s="103"/>
      <c r="M26" s="103"/>
      <c r="N26" s="103"/>
      <c r="O26" s="103"/>
      <c r="P26" s="103"/>
      <c r="Q26" s="103"/>
      <c r="R26" s="103"/>
      <c r="S26" s="103"/>
    </row>
    <row r="27" spans="2:19">
      <c r="B27" s="366" t="s">
        <v>838</v>
      </c>
      <c r="C27" s="432" t="str">
        <f>Data!$C$9</f>
        <v>£m 20/21</v>
      </c>
      <c r="D27" s="439">
        <v>0</v>
      </c>
      <c r="E27" s="439">
        <v>0</v>
      </c>
      <c r="F27" s="439">
        <v>0</v>
      </c>
      <c r="G27" s="439">
        <v>0</v>
      </c>
      <c r="H27" s="439">
        <v>0</v>
      </c>
      <c r="I27" s="15">
        <f>SUM(D27:INDEX(D27:H27,0,MATCH('RFPR cover'!$C$9,$D$6:$H$6,0)))</f>
        <v>0</v>
      </c>
      <c r="J27" s="17">
        <f t="shared" si="5"/>
        <v>0</v>
      </c>
      <c r="L27" s="103"/>
      <c r="M27" s="103"/>
      <c r="N27" s="103"/>
      <c r="O27" s="103"/>
      <c r="P27" s="103"/>
      <c r="Q27" s="103"/>
      <c r="R27" s="103"/>
      <c r="S27" s="103"/>
    </row>
    <row r="28" spans="2:19">
      <c r="B28" s="366" t="s">
        <v>838</v>
      </c>
      <c r="C28" s="432" t="str">
        <f>Data!$C$9</f>
        <v>£m 20/21</v>
      </c>
      <c r="D28" s="439">
        <v>0</v>
      </c>
      <c r="E28" s="439">
        <v>0</v>
      </c>
      <c r="F28" s="439">
        <v>0</v>
      </c>
      <c r="G28" s="439">
        <v>0</v>
      </c>
      <c r="H28" s="439">
        <v>0</v>
      </c>
      <c r="I28" s="15">
        <f>SUM(D28:INDEX(D28:H28,0,MATCH('RFPR cover'!$C$9,$D$6:$H$6,0)))</f>
        <v>0</v>
      </c>
      <c r="J28" s="17">
        <f t="shared" si="5"/>
        <v>0</v>
      </c>
      <c r="L28" s="103"/>
      <c r="M28" s="103"/>
      <c r="N28" s="103"/>
      <c r="O28" s="103"/>
      <c r="P28" s="103"/>
      <c r="Q28" s="103"/>
      <c r="R28" s="103"/>
      <c r="S28" s="103"/>
    </row>
    <row r="29" spans="2:19">
      <c r="B29" s="366" t="s">
        <v>838</v>
      </c>
      <c r="C29" s="432" t="str">
        <f>Data!$C$9</f>
        <v>£m 20/21</v>
      </c>
      <c r="D29" s="439">
        <v>0</v>
      </c>
      <c r="E29" s="439">
        <v>0</v>
      </c>
      <c r="F29" s="439">
        <v>0</v>
      </c>
      <c r="G29" s="439">
        <v>0</v>
      </c>
      <c r="H29" s="439">
        <v>0</v>
      </c>
      <c r="I29" s="15">
        <f>SUM(D29:INDEX(D29:H29,0,MATCH('RFPR cover'!$C$9,$D$6:$H$6,0)))</f>
        <v>0</v>
      </c>
      <c r="J29" s="17">
        <f t="shared" ref="J29" si="6">SUM(D29:H29)</f>
        <v>0</v>
      </c>
      <c r="L29" s="103"/>
      <c r="M29" s="103"/>
      <c r="N29" s="103"/>
      <c r="O29" s="103"/>
      <c r="P29" s="103"/>
      <c r="Q29" s="103"/>
      <c r="R29" s="103"/>
      <c r="S29" s="103"/>
    </row>
    <row r="30" spans="2:19">
      <c r="B30" s="360" t="s">
        <v>562</v>
      </c>
      <c r="C30" s="432" t="str">
        <f>Data!$C$9</f>
        <v>£m 20/21</v>
      </c>
      <c r="D30" s="459">
        <f>SUM(D23:D29)</f>
        <v>-40.89574396782254</v>
      </c>
      <c r="E30" s="459">
        <f t="shared" ref="E30:H30" si="7">SUM(E23:E29)</f>
        <v>23.023024294613549</v>
      </c>
      <c r="F30" s="459">
        <f t="shared" si="7"/>
        <v>19.022922003503936</v>
      </c>
      <c r="G30" s="459">
        <f t="shared" si="7"/>
        <v>43.090360631879491</v>
      </c>
      <c r="H30" s="459">
        <f t="shared" si="7"/>
        <v>42.355273840114023</v>
      </c>
      <c r="I30" s="15">
        <f>SUM(D30:INDEX(D30:H30,0,MATCH('RFPR cover'!$C$9,$D$6:$H$6,0)))</f>
        <v>-40.89574396782254</v>
      </c>
      <c r="J30" s="17">
        <f t="shared" ref="J30" si="8">SUM(D30:H30)</f>
        <v>86.59583680228846</v>
      </c>
      <c r="L30" s="103"/>
      <c r="M30" s="103"/>
      <c r="N30" s="103"/>
      <c r="O30" s="103"/>
      <c r="P30" s="103"/>
      <c r="Q30" s="103"/>
      <c r="R30" s="103"/>
      <c r="S30" s="103"/>
    </row>
    <row r="31" spans="2:19">
      <c r="B31" s="360"/>
      <c r="L31" s="103"/>
      <c r="M31" s="103"/>
      <c r="N31" s="103"/>
      <c r="O31" s="103"/>
      <c r="P31" s="103"/>
      <c r="Q31" s="103"/>
      <c r="R31" s="103"/>
      <c r="S31" s="103"/>
    </row>
    <row r="32" spans="2:19">
      <c r="B32" s="360" t="s">
        <v>563</v>
      </c>
      <c r="L32" s="103"/>
      <c r="M32" s="103"/>
      <c r="N32" s="103"/>
      <c r="O32" s="103"/>
      <c r="P32" s="103"/>
      <c r="Q32" s="103"/>
      <c r="R32" s="103"/>
      <c r="S32" s="103"/>
    </row>
    <row r="33" spans="2:19">
      <c r="B33" s="366" t="s">
        <v>839</v>
      </c>
      <c r="C33" s="432" t="str">
        <f>Data!$C$9</f>
        <v>£m 20/21</v>
      </c>
      <c r="D33" s="439">
        <v>0</v>
      </c>
      <c r="E33" s="439">
        <v>0</v>
      </c>
      <c r="F33" s="439">
        <v>0</v>
      </c>
      <c r="G33" s="439">
        <v>0</v>
      </c>
      <c r="H33" s="439">
        <v>0</v>
      </c>
      <c r="I33" s="15">
        <f>SUM(D33:INDEX(D33:H33,0,MATCH('RFPR cover'!$C$9,$D$6:$H$6,0)))</f>
        <v>0</v>
      </c>
      <c r="J33" s="17">
        <f>SUM(D33:H33)</f>
        <v>0</v>
      </c>
      <c r="L33" s="103"/>
      <c r="M33" s="103"/>
      <c r="N33" s="103"/>
      <c r="O33" s="103"/>
      <c r="P33" s="103"/>
      <c r="Q33" s="103"/>
      <c r="R33" s="103"/>
      <c r="S33" s="103"/>
    </row>
    <row r="34" spans="2:19">
      <c r="B34" s="366" t="s">
        <v>838</v>
      </c>
      <c r="C34" s="432" t="str">
        <f>Data!$C$9</f>
        <v>£m 20/21</v>
      </c>
      <c r="D34" s="439">
        <v>0</v>
      </c>
      <c r="E34" s="439">
        <v>0</v>
      </c>
      <c r="F34" s="439">
        <v>0</v>
      </c>
      <c r="G34" s="439">
        <v>0</v>
      </c>
      <c r="H34" s="439">
        <v>0</v>
      </c>
      <c r="I34" s="15">
        <f>SUM(D34:INDEX(D34:H34,0,MATCH('RFPR cover'!$C$9,$D$6:$H$6,0)))</f>
        <v>0</v>
      </c>
      <c r="J34" s="17">
        <f t="shared" ref="J34:J35" si="9">SUM(D34:H34)</f>
        <v>0</v>
      </c>
      <c r="L34" s="103"/>
      <c r="M34" s="103"/>
      <c r="N34" s="103"/>
      <c r="O34" s="103"/>
      <c r="P34" s="103"/>
      <c r="Q34" s="103"/>
      <c r="R34" s="103"/>
      <c r="S34" s="103"/>
    </row>
    <row r="35" spans="2:19">
      <c r="B35" s="360" t="s">
        <v>562</v>
      </c>
      <c r="C35" s="432" t="str">
        <f>Data!$C$9</f>
        <v>£m 20/21</v>
      </c>
      <c r="D35" s="459">
        <f>SUM(D33:D34)</f>
        <v>0</v>
      </c>
      <c r="E35" s="459">
        <f t="shared" ref="E35:H35" si="10">SUM(E33:E34)</f>
        <v>0</v>
      </c>
      <c r="F35" s="459">
        <f t="shared" si="10"/>
        <v>0</v>
      </c>
      <c r="G35" s="459">
        <f t="shared" si="10"/>
        <v>0</v>
      </c>
      <c r="H35" s="459">
        <f t="shared" si="10"/>
        <v>0</v>
      </c>
      <c r="I35" s="15">
        <f>SUM(D35:INDEX(D35:H35,0,MATCH('RFPR cover'!$C$9,$D$6:$H$6,0)))</f>
        <v>0</v>
      </c>
      <c r="J35" s="17">
        <f t="shared" si="9"/>
        <v>0</v>
      </c>
      <c r="L35" s="103"/>
      <c r="M35" s="103"/>
      <c r="N35" s="103"/>
      <c r="O35" s="103"/>
      <c r="P35" s="103"/>
      <c r="Q35" s="103"/>
      <c r="R35" s="103"/>
      <c r="S35" s="103"/>
    </row>
    <row r="36" spans="2:19">
      <c r="B36" s="360"/>
      <c r="L36" s="103"/>
      <c r="M36" s="103"/>
      <c r="N36" s="103"/>
      <c r="O36" s="103"/>
      <c r="P36" s="103"/>
      <c r="Q36" s="103"/>
      <c r="R36" s="103"/>
      <c r="S36" s="103"/>
    </row>
    <row r="37" spans="2:19">
      <c r="B37" s="353" t="s">
        <v>564</v>
      </c>
      <c r="C37" s="432" t="str">
        <f>Data!$C$9</f>
        <v>£m 20/21</v>
      </c>
      <c r="D37" s="459">
        <f>D30*D17</f>
        <v>-20.44787198391127</v>
      </c>
      <c r="E37" s="459">
        <f t="shared" ref="E37:H37" si="11">E30*E17</f>
        <v>11.511512147306775</v>
      </c>
      <c r="F37" s="459">
        <f t="shared" si="11"/>
        <v>9.5114610017519681</v>
      </c>
      <c r="G37" s="459">
        <f t="shared" si="11"/>
        <v>21.545180315939746</v>
      </c>
      <c r="H37" s="459">
        <f t="shared" si="11"/>
        <v>21.177636920057012</v>
      </c>
      <c r="I37" s="18">
        <f>SUM(D37:INDEX(D37:H37,0,MATCH('RFPR cover'!$C$9,$D$6:$H$6,0)))</f>
        <v>-20.44787198391127</v>
      </c>
      <c r="J37" s="20">
        <f>SUM(D37:H37)</f>
        <v>43.29791840114423</v>
      </c>
      <c r="L37" s="103"/>
      <c r="M37" s="103"/>
      <c r="N37" s="103"/>
      <c r="O37" s="103"/>
      <c r="P37" s="103"/>
      <c r="Q37" s="103"/>
      <c r="R37" s="103"/>
      <c r="S37" s="103"/>
    </row>
    <row r="38" spans="2:19">
      <c r="B38" s="353" t="s">
        <v>565</v>
      </c>
      <c r="C38" s="432" t="str">
        <f>Data!$C$9</f>
        <v>£m 20/21</v>
      </c>
      <c r="D38" s="459">
        <f>D30*(1-D17)+D35</f>
        <v>-20.44787198391127</v>
      </c>
      <c r="E38" s="459">
        <f t="shared" ref="E38:H38" si="12">E30*(1-E17)+E35</f>
        <v>11.511512147306775</v>
      </c>
      <c r="F38" s="459">
        <f t="shared" si="12"/>
        <v>9.5114610017519681</v>
      </c>
      <c r="G38" s="459">
        <f t="shared" si="12"/>
        <v>21.545180315939746</v>
      </c>
      <c r="H38" s="459">
        <f t="shared" si="12"/>
        <v>21.177636920057012</v>
      </c>
      <c r="I38" s="18">
        <f>SUM(D38:INDEX(D38:H38,0,MATCH('RFPR cover'!$C$9,$D$6:$H$6,0)))</f>
        <v>-20.44787198391127</v>
      </c>
      <c r="J38" s="17">
        <f>SUM(D38:H38)</f>
        <v>43.29791840114423</v>
      </c>
      <c r="L38" s="103"/>
      <c r="M38" s="103"/>
      <c r="N38" s="103"/>
      <c r="O38" s="103"/>
      <c r="P38" s="103"/>
      <c r="Q38" s="103"/>
      <c r="R38" s="103"/>
      <c r="S38" s="103"/>
    </row>
    <row r="39" spans="2:19">
      <c r="B39" s="360"/>
      <c r="L39" s="103"/>
      <c r="M39" s="103"/>
      <c r="N39" s="103"/>
      <c r="O39" s="103"/>
      <c r="P39" s="103"/>
      <c r="Q39" s="103"/>
      <c r="R39" s="103"/>
      <c r="S39" s="103"/>
    </row>
    <row r="40" spans="2:19">
      <c r="B40" s="360" t="s">
        <v>566</v>
      </c>
      <c r="L40" s="103"/>
      <c r="M40" s="103"/>
      <c r="N40" s="103"/>
      <c r="O40" s="103"/>
      <c r="P40" s="103"/>
      <c r="Q40" s="103"/>
      <c r="R40" s="103"/>
      <c r="S40" s="103"/>
    </row>
    <row r="41" spans="2:19">
      <c r="B41" s="353" t="s">
        <v>559</v>
      </c>
      <c r="C41" s="432" t="str">
        <f>Data!$C$9</f>
        <v>£m 20/21</v>
      </c>
      <c r="D41" s="459">
        <f>D19+D37</f>
        <v>0</v>
      </c>
      <c r="E41" s="459">
        <f t="shared" ref="E41:H41" si="13">E19+E37</f>
        <v>0</v>
      </c>
      <c r="F41" s="459">
        <f t="shared" si="13"/>
        <v>0</v>
      </c>
      <c r="G41" s="459">
        <f t="shared" si="13"/>
        <v>0</v>
      </c>
      <c r="H41" s="459">
        <f t="shared" si="13"/>
        <v>0</v>
      </c>
      <c r="I41" s="18">
        <f>SUM(D41:INDEX(D41:H41,0,MATCH('RFPR cover'!$C$9,$D$6:$H$6,0)))</f>
        <v>0</v>
      </c>
      <c r="J41" s="20">
        <f>SUM(D41:H41)</f>
        <v>0</v>
      </c>
      <c r="L41" s="103"/>
      <c r="M41" s="103"/>
      <c r="N41" s="103"/>
      <c r="O41" s="103"/>
      <c r="P41" s="103"/>
      <c r="Q41" s="103"/>
      <c r="R41" s="103"/>
      <c r="S41" s="103"/>
    </row>
    <row r="42" spans="2:19">
      <c r="B42" s="353" t="s">
        <v>560</v>
      </c>
      <c r="C42" s="432" t="str">
        <f>Data!$C$9</f>
        <v>£m 20/21</v>
      </c>
      <c r="D42" s="459">
        <f>D20+D38</f>
        <v>0</v>
      </c>
      <c r="E42" s="459">
        <f t="shared" ref="E42:H42" si="14">E20+E38</f>
        <v>0</v>
      </c>
      <c r="F42" s="459">
        <f t="shared" si="14"/>
        <v>0</v>
      </c>
      <c r="G42" s="459">
        <f t="shared" si="14"/>
        <v>0</v>
      </c>
      <c r="H42" s="459">
        <f t="shared" si="14"/>
        <v>0</v>
      </c>
      <c r="I42" s="18">
        <f>SUM(D42:INDEX(D42:H42,0,MATCH('RFPR cover'!$C$9,$D$6:$H$6,0)))</f>
        <v>0</v>
      </c>
      <c r="J42" s="17">
        <f t="shared" ref="J42" si="15">SUM(D42:H42)</f>
        <v>0</v>
      </c>
      <c r="L42" s="103"/>
      <c r="M42" s="103"/>
      <c r="N42" s="103"/>
      <c r="O42" s="103"/>
      <c r="P42" s="103"/>
      <c r="Q42" s="103"/>
      <c r="R42" s="103"/>
      <c r="S42" s="103"/>
    </row>
    <row r="43" spans="2:19">
      <c r="B43" s="360" t="s">
        <v>567</v>
      </c>
      <c r="C43" s="440" t="str">
        <f>Data!$C$9</f>
        <v>£m 20/21</v>
      </c>
      <c r="D43" s="459">
        <f>SUM(D41:D42)</f>
        <v>0</v>
      </c>
      <c r="E43" s="459">
        <f t="shared" ref="E43:H43" si="16">SUM(E41:E42)</f>
        <v>0</v>
      </c>
      <c r="F43" s="459">
        <f t="shared" si="16"/>
        <v>0</v>
      </c>
      <c r="G43" s="459">
        <f t="shared" si="16"/>
        <v>0</v>
      </c>
      <c r="H43" s="459">
        <f t="shared" si="16"/>
        <v>0</v>
      </c>
      <c r="I43" s="15">
        <f>SUM(D43:INDEX(D43:H43,0,MATCH('RFPR cover'!$C$9,$D$6:$H$6,0)))</f>
        <v>0</v>
      </c>
      <c r="J43" s="17">
        <f t="shared" ref="J43" si="17">SUM(D43:H43)</f>
        <v>0</v>
      </c>
      <c r="L43" s="103"/>
      <c r="M43" s="103"/>
      <c r="N43" s="103"/>
      <c r="O43" s="103"/>
      <c r="P43" s="103"/>
      <c r="Q43" s="103"/>
      <c r="R43" s="103"/>
      <c r="S43" s="103"/>
    </row>
    <row r="44" spans="2:19">
      <c r="B44" s="360"/>
      <c r="L44" s="103"/>
      <c r="M44" s="103"/>
      <c r="N44" s="103"/>
      <c r="O44" s="103"/>
      <c r="P44" s="103"/>
      <c r="Q44" s="103"/>
      <c r="R44" s="103"/>
      <c r="S44" s="103"/>
    </row>
    <row r="45" spans="2:19">
      <c r="B45" s="429" t="str">
        <f>IF(Sector="GD2","Capitalisation 2 totex (excluding repex)","Capitalisation 2 totex")</f>
        <v>Capitalisation 2 totex</v>
      </c>
      <c r="C45" s="356"/>
      <c r="D45" s="358"/>
      <c r="E45" s="358"/>
      <c r="F45" s="358"/>
      <c r="G45" s="358"/>
      <c r="H45" s="358"/>
      <c r="I45" s="358"/>
      <c r="J45" s="358"/>
    </row>
    <row r="46" spans="2:19">
      <c r="D46" s="431"/>
      <c r="E46" s="431"/>
      <c r="F46" s="431"/>
      <c r="G46" s="431"/>
      <c r="H46" s="431"/>
      <c r="I46" s="431"/>
      <c r="J46" s="431"/>
    </row>
    <row r="47" spans="2:19">
      <c r="B47" s="79" t="s">
        <v>555</v>
      </c>
      <c r="C47" s="432" t="str">
        <f>Data!$C$9</f>
        <v>£m 20/21</v>
      </c>
      <c r="D47" s="433">
        <v>31.426543275990092</v>
      </c>
      <c r="E47" s="433">
        <v>42.628485517495164</v>
      </c>
      <c r="F47" s="433">
        <v>35.86663897793516</v>
      </c>
      <c r="G47" s="433">
        <v>31.21109276047406</v>
      </c>
      <c r="H47" s="433">
        <v>35.107754710712577</v>
      </c>
      <c r="I47" s="465">
        <f>SUM(D47:INDEX(D47:H47,0,MATCH('RFPR cover'!$C$9,$D$6:$H$6,0)))</f>
        <v>31.426543275990092</v>
      </c>
      <c r="J47" s="466">
        <f>SUM(D47:H47)</f>
        <v>176.24051524260707</v>
      </c>
      <c r="K47" s="435"/>
    </row>
    <row r="48" spans="2:19" ht="15" customHeight="1">
      <c r="B48" s="434" t="s">
        <v>568</v>
      </c>
      <c r="C48" s="432" t="str">
        <f>Data!$C$9</f>
        <v>£m 20/21</v>
      </c>
      <c r="D48" s="433">
        <v>23.020330239480259</v>
      </c>
      <c r="E48" s="433">
        <v>42.773200452176347</v>
      </c>
      <c r="F48" s="433">
        <v>37.384375034209242</v>
      </c>
      <c r="G48" s="433">
        <v>34.955761544446432</v>
      </c>
      <c r="H48" s="433">
        <v>39.258729910004476</v>
      </c>
      <c r="I48" s="467">
        <f>SUM(D48:INDEX(D48:H48,0,MATCH('RFPR cover'!$C$9,$D$6:$H$6,0)))</f>
        <v>23.020330239480259</v>
      </c>
      <c r="J48" s="468">
        <f>SUM(D48:H48)</f>
        <v>177.39239718031678</v>
      </c>
      <c r="K48" s="435"/>
    </row>
    <row r="49" spans="2:19">
      <c r="B49" s="78" t="s">
        <v>557</v>
      </c>
      <c r="C49" s="432" t="str">
        <f>Data!$C$9</f>
        <v>£m 20/21</v>
      </c>
      <c r="D49" s="459">
        <f>D48-D47</f>
        <v>-8.4062130365098326</v>
      </c>
      <c r="E49" s="459">
        <f t="shared" ref="E49:J49" si="18">E48-E47</f>
        <v>0.14471493468118268</v>
      </c>
      <c r="F49" s="459">
        <f t="shared" si="18"/>
        <v>1.5177360562740816</v>
      </c>
      <c r="G49" s="459">
        <f t="shared" si="18"/>
        <v>3.7446687839723722</v>
      </c>
      <c r="H49" s="459">
        <f t="shared" si="18"/>
        <v>4.1509751992918993</v>
      </c>
      <c r="I49" s="141">
        <f t="shared" si="18"/>
        <v>-8.4062130365098326</v>
      </c>
      <c r="J49" s="225">
        <f t="shared" si="18"/>
        <v>1.1518819377097032</v>
      </c>
      <c r="K49" s="124"/>
      <c r="L49" s="124"/>
      <c r="M49" s="124"/>
      <c r="N49" s="124"/>
      <c r="O49" s="124"/>
      <c r="P49" s="124"/>
      <c r="Q49" s="103"/>
      <c r="R49" s="103"/>
      <c r="S49" s="103"/>
    </row>
    <row r="50" spans="2:19">
      <c r="B50" s="78"/>
      <c r="C50" s="432"/>
      <c r="D50" s="436"/>
      <c r="E50" s="436"/>
      <c r="F50" s="436"/>
      <c r="G50" s="436"/>
      <c r="H50" s="436"/>
      <c r="I50" s="436"/>
      <c r="J50" s="436"/>
      <c r="K50" s="437"/>
      <c r="L50" s="437"/>
      <c r="M50" s="437"/>
      <c r="N50" s="437"/>
      <c r="O50" s="437"/>
      <c r="P50" s="437"/>
      <c r="Q50" s="103"/>
      <c r="R50" s="103"/>
      <c r="S50" s="103"/>
    </row>
    <row r="51" spans="2:19">
      <c r="B51" s="353" t="s">
        <v>558</v>
      </c>
      <c r="C51" s="29" t="s">
        <v>486</v>
      </c>
      <c r="D51" s="469">
        <f>INDEX(Data!$C$63:$C$91,MATCH('RFPR cover'!$C$7,Data!$B$63:$B$91,0),0)</f>
        <v>0.5</v>
      </c>
      <c r="E51" s="469">
        <f>INDEX(Data!$C$63:$C$91,MATCH('RFPR cover'!$C$7,Data!$B$63:$B$91,0),0)</f>
        <v>0.5</v>
      </c>
      <c r="F51" s="469">
        <f>INDEX(Data!$C$63:$C$91,MATCH('RFPR cover'!$C$7,Data!$B$63:$B$91,0),0)</f>
        <v>0.5</v>
      </c>
      <c r="G51" s="469">
        <f>INDEX(Data!$C$63:$C$91,MATCH('RFPR cover'!$C$7,Data!$B$63:$B$91,0),0)</f>
        <v>0.5</v>
      </c>
      <c r="H51" s="469">
        <f>INDEX(Data!$C$63:$C$91,MATCH('RFPR cover'!$C$7,Data!$B$63:$B$91,0),0)</f>
        <v>0.5</v>
      </c>
      <c r="I51" s="438"/>
      <c r="J51" s="438"/>
      <c r="K51" s="103"/>
      <c r="L51" s="103"/>
      <c r="M51" s="103"/>
      <c r="N51" s="103"/>
      <c r="O51" s="103"/>
      <c r="P51" s="103"/>
      <c r="Q51" s="103"/>
      <c r="R51" s="103"/>
      <c r="S51" s="103"/>
    </row>
    <row r="52" spans="2:19">
      <c r="K52" s="103"/>
      <c r="L52" s="103"/>
      <c r="M52" s="103"/>
      <c r="N52" s="103"/>
      <c r="O52" s="103"/>
      <c r="P52" s="103"/>
      <c r="Q52" s="103"/>
      <c r="R52" s="103"/>
      <c r="S52" s="103"/>
    </row>
    <row r="53" spans="2:19">
      <c r="B53" s="353" t="s">
        <v>559</v>
      </c>
      <c r="C53" s="432" t="str">
        <f>Data!$C$9</f>
        <v>£m 20/21</v>
      </c>
      <c r="D53" s="459">
        <f>D49*D51</f>
        <v>-4.2031065182549163</v>
      </c>
      <c r="E53" s="459">
        <f t="shared" ref="E53:H53" si="19">E49*E51</f>
        <v>7.2357467340591342E-2</v>
      </c>
      <c r="F53" s="459">
        <f t="shared" si="19"/>
        <v>0.7588680281370408</v>
      </c>
      <c r="G53" s="459">
        <f t="shared" si="19"/>
        <v>1.8723343919861861</v>
      </c>
      <c r="H53" s="459">
        <f t="shared" si="19"/>
        <v>2.0754875996459496</v>
      </c>
      <c r="I53" s="50">
        <f>SUM(D53:INDEX(D53:H53,0,MATCH('RFPR cover'!$C$9,$D$6:$H$6,0)))</f>
        <v>-4.2031065182549163</v>
      </c>
      <c r="J53" s="74">
        <f>SUM(D53:H53)</f>
        <v>0.57594096885485158</v>
      </c>
      <c r="K53" s="103"/>
      <c r="L53" s="103"/>
      <c r="M53" s="103"/>
      <c r="N53" s="103"/>
      <c r="O53" s="103"/>
      <c r="P53" s="103"/>
      <c r="Q53" s="103"/>
      <c r="R53" s="103"/>
      <c r="S53" s="103"/>
    </row>
    <row r="54" spans="2:19">
      <c r="B54" s="353" t="s">
        <v>560</v>
      </c>
      <c r="C54" s="432" t="str">
        <f>Data!$C$9</f>
        <v>£m 20/21</v>
      </c>
      <c r="D54" s="459">
        <f>D49*(1-D51)</f>
        <v>-4.2031065182549163</v>
      </c>
      <c r="E54" s="459">
        <f t="shared" ref="E54:H54" si="20">E49*(1-E51)</f>
        <v>7.2357467340591342E-2</v>
      </c>
      <c r="F54" s="459">
        <f t="shared" si="20"/>
        <v>0.7588680281370408</v>
      </c>
      <c r="G54" s="459">
        <f t="shared" si="20"/>
        <v>1.8723343919861861</v>
      </c>
      <c r="H54" s="459">
        <f t="shared" si="20"/>
        <v>2.0754875996459496</v>
      </c>
      <c r="I54" s="75">
        <f>SUM(D54:INDEX(D54:H54,0,MATCH('RFPR cover'!$C$9,$D$6:$H$6,0)))</f>
        <v>-4.2031065182549163</v>
      </c>
      <c r="J54" s="76">
        <f>SUM(D54:H54)</f>
        <v>0.57594096885485158</v>
      </c>
      <c r="K54" s="103"/>
      <c r="L54" s="103"/>
      <c r="M54" s="103"/>
      <c r="N54" s="103"/>
      <c r="O54" s="103"/>
      <c r="P54" s="103"/>
      <c r="Q54" s="103"/>
      <c r="R54" s="103"/>
      <c r="S54" s="103"/>
    </row>
    <row r="55" spans="2:19">
      <c r="K55" s="103"/>
      <c r="L55" s="103"/>
      <c r="M55" s="103"/>
      <c r="N55" s="103"/>
      <c r="O55" s="103"/>
      <c r="P55" s="103"/>
      <c r="Q55" s="103"/>
      <c r="R55" s="103"/>
      <c r="S55" s="103"/>
    </row>
    <row r="56" spans="2:19">
      <c r="B56" s="360" t="s">
        <v>561</v>
      </c>
      <c r="K56" s="103"/>
      <c r="L56" s="103"/>
      <c r="M56" s="103"/>
      <c r="N56" s="103"/>
      <c r="O56" s="103"/>
      <c r="P56" s="103"/>
      <c r="Q56" s="103"/>
      <c r="R56" s="103"/>
      <c r="S56" s="103"/>
    </row>
    <row r="57" spans="2:19">
      <c r="B57" s="366" t="s">
        <v>840</v>
      </c>
      <c r="C57" s="432" t="str">
        <f>Data!$C$9</f>
        <v>£m 20/21</v>
      </c>
      <c r="D57" s="439">
        <v>8.4062130365098326</v>
      </c>
      <c r="E57" s="439">
        <v>-0.14471493468118268</v>
      </c>
      <c r="F57" s="439">
        <v>-1.5177360562740816</v>
      </c>
      <c r="G57" s="439">
        <v>-3.7446687839723722</v>
      </c>
      <c r="H57" s="439">
        <v>-4.1509751992918993</v>
      </c>
      <c r="I57" s="15">
        <f>SUM(D57:INDEX(D57:H57,0,MATCH('RFPR cover'!$C$9,$D$6:$H$6,0)))</f>
        <v>8.4062130365098326</v>
      </c>
      <c r="J57" s="17">
        <f>SUM(D57:H57)</f>
        <v>-1.1518819377097032</v>
      </c>
      <c r="K57" s="103"/>
      <c r="L57" s="103"/>
      <c r="M57" s="103"/>
      <c r="N57" s="103"/>
      <c r="O57" s="103"/>
      <c r="P57" s="103"/>
      <c r="Q57" s="103"/>
      <c r="R57" s="103"/>
      <c r="S57" s="103"/>
    </row>
    <row r="58" spans="2:19">
      <c r="B58" s="366" t="s">
        <v>841</v>
      </c>
      <c r="C58" s="432" t="str">
        <f>Data!$C$9</f>
        <v>£m 20/21</v>
      </c>
      <c r="D58" s="439">
        <v>0</v>
      </c>
      <c r="E58" s="439">
        <v>0</v>
      </c>
      <c r="F58" s="439">
        <v>0</v>
      </c>
      <c r="G58" s="439">
        <v>0</v>
      </c>
      <c r="H58" s="439">
        <v>0</v>
      </c>
      <c r="I58" s="15">
        <f>SUM(D58:INDEX(D58:H58,0,MATCH('RFPR cover'!$C$9,$D$6:$H$6,0)))</f>
        <v>0</v>
      </c>
      <c r="J58" s="17">
        <f t="shared" ref="J58:J59" si="21">SUM(D58:H58)</f>
        <v>0</v>
      </c>
      <c r="K58" s="103"/>
      <c r="L58" s="103"/>
      <c r="M58" s="103"/>
      <c r="N58" s="103"/>
      <c r="O58" s="103"/>
      <c r="P58" s="103"/>
      <c r="Q58" s="103"/>
      <c r="R58" s="103"/>
      <c r="S58" s="103"/>
    </row>
    <row r="59" spans="2:19">
      <c r="B59" s="360" t="s">
        <v>562</v>
      </c>
      <c r="C59" s="432" t="str">
        <f>Data!$C$9</f>
        <v>£m 20/21</v>
      </c>
      <c r="D59" s="459">
        <f>SUM(D57:D58)</f>
        <v>8.4062130365098326</v>
      </c>
      <c r="E59" s="459">
        <f t="shared" ref="E59" si="22">SUM(E57:E58)</f>
        <v>-0.14471493468118268</v>
      </c>
      <c r="F59" s="459">
        <f t="shared" ref="F59" si="23">SUM(F57:F58)</f>
        <v>-1.5177360562740816</v>
      </c>
      <c r="G59" s="459">
        <f t="shared" ref="G59" si="24">SUM(G57:G58)</f>
        <v>-3.7446687839723722</v>
      </c>
      <c r="H59" s="459">
        <f t="shared" ref="H59" si="25">SUM(H57:H58)</f>
        <v>-4.1509751992918993</v>
      </c>
      <c r="I59" s="15">
        <f>SUM(D59:INDEX(D59:H59,0,MATCH('RFPR cover'!$C$9,$D$6:$H$6,0)))</f>
        <v>8.4062130365098326</v>
      </c>
      <c r="J59" s="17">
        <f t="shared" si="21"/>
        <v>-1.1518819377097032</v>
      </c>
      <c r="K59" s="360"/>
      <c r="L59" s="360"/>
      <c r="M59" s="360"/>
      <c r="N59" s="360"/>
      <c r="O59" s="360"/>
      <c r="P59" s="360"/>
      <c r="Q59" s="360"/>
      <c r="R59" s="103"/>
      <c r="S59" s="103"/>
    </row>
    <row r="60" spans="2:19">
      <c r="B60" s="360"/>
      <c r="C60" s="360"/>
      <c r="D60" s="360"/>
      <c r="E60" s="360"/>
      <c r="F60" s="360"/>
      <c r="G60" s="360"/>
      <c r="H60" s="360"/>
      <c r="I60" s="360"/>
      <c r="J60" s="360"/>
      <c r="K60" s="360"/>
      <c r="L60" s="360"/>
      <c r="M60" s="360"/>
      <c r="N60" s="360"/>
      <c r="O60" s="360"/>
      <c r="P60" s="360"/>
      <c r="Q60" s="360"/>
      <c r="R60" s="103"/>
      <c r="S60" s="103"/>
    </row>
    <row r="61" spans="2:19">
      <c r="B61" s="360" t="s">
        <v>563</v>
      </c>
      <c r="K61" s="360"/>
      <c r="L61" s="360"/>
      <c r="M61" s="360"/>
      <c r="N61" s="360"/>
      <c r="O61" s="360"/>
      <c r="P61" s="360"/>
      <c r="Q61" s="360"/>
      <c r="R61" s="103"/>
      <c r="S61" s="103"/>
    </row>
    <row r="62" spans="2:19">
      <c r="B62" s="366" t="s">
        <v>839</v>
      </c>
      <c r="C62" s="432" t="str">
        <f>Data!$C$9</f>
        <v>£m 20/21</v>
      </c>
      <c r="D62" s="439">
        <v>0</v>
      </c>
      <c r="E62" s="439">
        <v>0</v>
      </c>
      <c r="F62" s="439">
        <v>0</v>
      </c>
      <c r="G62" s="439">
        <v>0</v>
      </c>
      <c r="H62" s="439">
        <v>0</v>
      </c>
      <c r="I62" s="15">
        <f>SUM(D62:INDEX(D62:H62,0,MATCH('RFPR cover'!$C$9,$D$6:$H$6,0)))</f>
        <v>0</v>
      </c>
      <c r="J62" s="17">
        <f>SUM(D62:H62)</f>
        <v>0</v>
      </c>
      <c r="K62" s="360"/>
      <c r="L62" s="360"/>
      <c r="M62" s="360"/>
      <c r="N62" s="360"/>
      <c r="O62" s="360"/>
      <c r="P62" s="360"/>
      <c r="Q62" s="360"/>
      <c r="R62" s="103"/>
      <c r="S62" s="103"/>
    </row>
    <row r="63" spans="2:19">
      <c r="B63" s="366" t="s">
        <v>838</v>
      </c>
      <c r="C63" s="432" t="str">
        <f>Data!$C$9</f>
        <v>£m 20/21</v>
      </c>
      <c r="D63" s="439">
        <v>0</v>
      </c>
      <c r="E63" s="439">
        <v>0</v>
      </c>
      <c r="F63" s="439">
        <v>0</v>
      </c>
      <c r="G63" s="439">
        <v>0</v>
      </c>
      <c r="H63" s="439">
        <v>0</v>
      </c>
      <c r="I63" s="15">
        <f>SUM(D63:INDEX(D63:H63,0,MATCH('RFPR cover'!$C$9,$D$6:$H$6,0)))</f>
        <v>0</v>
      </c>
      <c r="J63" s="17">
        <f t="shared" ref="J63:J64" si="26">SUM(D63:H63)</f>
        <v>0</v>
      </c>
      <c r="K63" s="360"/>
      <c r="L63" s="360"/>
      <c r="M63" s="360"/>
      <c r="N63" s="360"/>
      <c r="O63" s="360"/>
      <c r="P63" s="360"/>
      <c r="Q63" s="360"/>
      <c r="R63" s="103"/>
      <c r="S63" s="103"/>
    </row>
    <row r="64" spans="2:19">
      <c r="B64" s="360" t="s">
        <v>562</v>
      </c>
      <c r="C64" s="432" t="str">
        <f>Data!$C$9</f>
        <v>£m 20/21</v>
      </c>
      <c r="D64" s="459">
        <f>SUM(D62:D63)</f>
        <v>0</v>
      </c>
      <c r="E64" s="459">
        <f t="shared" ref="E64:H64" si="27">SUM(E62:E63)</f>
        <v>0</v>
      </c>
      <c r="F64" s="459">
        <f t="shared" si="27"/>
        <v>0</v>
      </c>
      <c r="G64" s="459">
        <f t="shared" si="27"/>
        <v>0</v>
      </c>
      <c r="H64" s="459">
        <f t="shared" si="27"/>
        <v>0</v>
      </c>
      <c r="I64" s="15">
        <f>SUM(D64:INDEX(D64:H64,0,MATCH('RFPR cover'!$C$9,$D$6:$H$6,0)))</f>
        <v>0</v>
      </c>
      <c r="J64" s="17">
        <f t="shared" si="26"/>
        <v>0</v>
      </c>
      <c r="K64" s="360"/>
      <c r="L64" s="360"/>
      <c r="M64" s="360"/>
      <c r="N64" s="360"/>
      <c r="O64" s="360"/>
      <c r="P64" s="360"/>
      <c r="Q64" s="360"/>
      <c r="R64" s="103"/>
      <c r="S64" s="103"/>
    </row>
    <row r="65" spans="2:20">
      <c r="B65" s="360"/>
      <c r="C65" s="360"/>
      <c r="D65" s="360"/>
      <c r="E65" s="360"/>
      <c r="F65" s="360"/>
      <c r="G65" s="360"/>
      <c r="H65" s="360"/>
      <c r="I65" s="360"/>
      <c r="J65" s="360"/>
      <c r="K65" s="360"/>
      <c r="L65" s="360"/>
      <c r="M65" s="360"/>
      <c r="N65" s="360"/>
      <c r="O65" s="360"/>
      <c r="P65" s="360"/>
      <c r="Q65" s="360"/>
      <c r="R65" s="103"/>
      <c r="S65" s="103"/>
    </row>
    <row r="66" spans="2:20">
      <c r="B66" s="353" t="s">
        <v>564</v>
      </c>
      <c r="C66" s="432" t="str">
        <f>Data!$C$9</f>
        <v>£m 20/21</v>
      </c>
      <c r="D66" s="459">
        <f>D59*D51</f>
        <v>4.2031065182549163</v>
      </c>
      <c r="E66" s="459">
        <f t="shared" ref="E66:H66" si="28">E59*E51</f>
        <v>-7.2357467340591342E-2</v>
      </c>
      <c r="F66" s="459">
        <f t="shared" si="28"/>
        <v>-0.7588680281370408</v>
      </c>
      <c r="G66" s="459">
        <f t="shared" si="28"/>
        <v>-1.8723343919861861</v>
      </c>
      <c r="H66" s="459">
        <f t="shared" si="28"/>
        <v>-2.0754875996459496</v>
      </c>
      <c r="I66" s="18">
        <f>SUM(D66:INDEX(D66:H66,0,MATCH('RFPR cover'!$C$9,$D$6:$H$6,0)))</f>
        <v>4.2031065182549163</v>
      </c>
      <c r="J66" s="20">
        <f>SUM(D66:H66)</f>
        <v>-0.57594096885485158</v>
      </c>
      <c r="K66" s="360"/>
      <c r="L66" s="360"/>
      <c r="M66" s="360"/>
      <c r="N66" s="360"/>
      <c r="O66" s="360"/>
      <c r="P66" s="360"/>
      <c r="Q66" s="360"/>
      <c r="R66" s="103"/>
      <c r="S66" s="103"/>
    </row>
    <row r="67" spans="2:20">
      <c r="B67" s="353" t="s">
        <v>565</v>
      </c>
      <c r="C67" s="432" t="str">
        <f>Data!$C$9</f>
        <v>£m 20/21</v>
      </c>
      <c r="D67" s="459">
        <f t="shared" ref="D67:H67" si="29">D59*(1-D51)+D64</f>
        <v>4.2031065182549163</v>
      </c>
      <c r="E67" s="459">
        <f t="shared" si="29"/>
        <v>-7.2357467340591342E-2</v>
      </c>
      <c r="F67" s="459">
        <f t="shared" si="29"/>
        <v>-0.7588680281370408</v>
      </c>
      <c r="G67" s="459">
        <f t="shared" si="29"/>
        <v>-1.8723343919861861</v>
      </c>
      <c r="H67" s="459">
        <f t="shared" si="29"/>
        <v>-2.0754875996459496</v>
      </c>
      <c r="I67" s="18">
        <f>SUM(D67:INDEX(D67:H67,0,MATCH('RFPR cover'!$C$9,$D$6:$H$6,0)))</f>
        <v>4.2031065182549163</v>
      </c>
      <c r="J67" s="17">
        <f>SUM(D67:H67)</f>
        <v>-0.57594096885485158</v>
      </c>
      <c r="K67" s="360"/>
      <c r="L67" s="360"/>
      <c r="M67" s="360"/>
      <c r="N67" s="360"/>
      <c r="O67" s="360"/>
      <c r="P67" s="360"/>
      <c r="Q67" s="360"/>
      <c r="R67" s="103"/>
      <c r="S67" s="103"/>
    </row>
    <row r="68" spans="2:20">
      <c r="B68" s="360"/>
      <c r="C68" s="360"/>
      <c r="D68" s="360"/>
      <c r="E68" s="360"/>
      <c r="F68" s="360"/>
      <c r="G68" s="360"/>
      <c r="H68" s="360"/>
      <c r="I68" s="360"/>
      <c r="J68" s="360"/>
      <c r="K68" s="360"/>
      <c r="L68" s="360"/>
      <c r="M68" s="360"/>
      <c r="N68" s="360"/>
      <c r="O68" s="360"/>
      <c r="P68" s="360"/>
      <c r="Q68" s="360"/>
      <c r="R68" s="103"/>
      <c r="S68" s="103"/>
    </row>
    <row r="69" spans="2:20">
      <c r="B69" s="360" t="s">
        <v>566</v>
      </c>
      <c r="C69" s="360"/>
      <c r="D69" s="360"/>
      <c r="E69" s="360"/>
      <c r="F69" s="360"/>
      <c r="G69" s="360"/>
      <c r="H69" s="360"/>
      <c r="I69" s="360"/>
      <c r="J69" s="360"/>
      <c r="K69" s="360"/>
      <c r="L69" s="360"/>
      <c r="M69" s="360"/>
      <c r="N69" s="360"/>
      <c r="O69" s="360"/>
      <c r="P69" s="360"/>
      <c r="Q69" s="360"/>
      <c r="R69" s="103"/>
      <c r="S69" s="103"/>
    </row>
    <row r="70" spans="2:20">
      <c r="B70" s="353" t="s">
        <v>559</v>
      </c>
      <c r="C70" s="432" t="str">
        <f>Data!$C$9</f>
        <v>£m 20/21</v>
      </c>
      <c r="D70" s="459">
        <f>D66+D53</f>
        <v>0</v>
      </c>
      <c r="E70" s="459">
        <f t="shared" ref="E70:H70" si="30">E66+E53</f>
        <v>0</v>
      </c>
      <c r="F70" s="459">
        <f t="shared" si="30"/>
        <v>0</v>
      </c>
      <c r="G70" s="459">
        <f t="shared" si="30"/>
        <v>0</v>
      </c>
      <c r="H70" s="459">
        <f t="shared" si="30"/>
        <v>0</v>
      </c>
      <c r="I70" s="15">
        <f>SUM(D70:INDEX(D70:H70,0,MATCH('RFPR cover'!$C$9,$D$6:$H$6,0)))</f>
        <v>0</v>
      </c>
      <c r="J70" s="17">
        <f>SUM(D70:H70)</f>
        <v>0</v>
      </c>
      <c r="K70" s="360"/>
      <c r="L70" s="360"/>
      <c r="M70" s="360"/>
      <c r="N70" s="360"/>
      <c r="O70" s="360"/>
      <c r="P70" s="360"/>
      <c r="Q70" s="360"/>
      <c r="R70" s="103"/>
      <c r="S70" s="103"/>
    </row>
    <row r="71" spans="2:20">
      <c r="B71" s="353" t="s">
        <v>560</v>
      </c>
      <c r="C71" s="432" t="str">
        <f>Data!$C$9</f>
        <v>£m 20/21</v>
      </c>
      <c r="D71" s="459">
        <f>D54+D67</f>
        <v>0</v>
      </c>
      <c r="E71" s="459">
        <f t="shared" ref="E71:H71" si="31">E54+E67</f>
        <v>0</v>
      </c>
      <c r="F71" s="459">
        <f t="shared" si="31"/>
        <v>0</v>
      </c>
      <c r="G71" s="459">
        <f t="shared" si="31"/>
        <v>0</v>
      </c>
      <c r="H71" s="459">
        <f t="shared" si="31"/>
        <v>0</v>
      </c>
      <c r="I71" s="15">
        <f>SUM(D71:INDEX(D71:H71,0,MATCH('RFPR cover'!$C$9,$D$6:$H$6,0)))</f>
        <v>0</v>
      </c>
      <c r="J71" s="17">
        <f t="shared" ref="J71" si="32">SUM(D71:H71)</f>
        <v>0</v>
      </c>
      <c r="K71" s="360"/>
      <c r="L71" s="360"/>
      <c r="M71" s="360"/>
      <c r="N71" s="360"/>
      <c r="O71" s="360"/>
      <c r="P71" s="360"/>
      <c r="Q71" s="360"/>
      <c r="R71" s="103"/>
      <c r="S71" s="103"/>
    </row>
    <row r="72" spans="2:20">
      <c r="B72" s="360" t="s">
        <v>567</v>
      </c>
      <c r="C72" s="440" t="str">
        <f>Data!$C$9</f>
        <v>£m 20/21</v>
      </c>
      <c r="D72" s="459">
        <f>SUM(D70:D71)</f>
        <v>0</v>
      </c>
      <c r="E72" s="459">
        <f t="shared" ref="E72:H72" si="33">SUM(E70:E71)</f>
        <v>0</v>
      </c>
      <c r="F72" s="459">
        <f t="shared" si="33"/>
        <v>0</v>
      </c>
      <c r="G72" s="459">
        <f t="shared" si="33"/>
        <v>0</v>
      </c>
      <c r="H72" s="459">
        <f t="shared" si="33"/>
        <v>0</v>
      </c>
      <c r="I72" s="15">
        <f>SUM(D72:INDEX(D72:H72,0,MATCH('RFPR cover'!$C$9,$D$6:$H$6,0)))</f>
        <v>0</v>
      </c>
      <c r="J72" s="17">
        <f t="shared" ref="J72" si="34">SUM(D72:H72)</f>
        <v>0</v>
      </c>
      <c r="K72" s="103"/>
      <c r="L72" s="103"/>
      <c r="M72" s="103"/>
      <c r="N72" s="103"/>
      <c r="O72" s="103"/>
      <c r="P72" s="103"/>
      <c r="Q72" s="103"/>
      <c r="R72" s="103"/>
      <c r="S72" s="103"/>
    </row>
    <row r="73" spans="2:20">
      <c r="C73" s="432"/>
      <c r="D73" s="432"/>
      <c r="E73" s="432"/>
      <c r="F73" s="432"/>
      <c r="G73" s="432"/>
      <c r="H73" s="432"/>
      <c r="I73" s="432"/>
      <c r="J73" s="432"/>
      <c r="K73" s="432"/>
      <c r="L73" s="432"/>
      <c r="M73" s="432"/>
      <c r="N73" s="432"/>
      <c r="O73" s="432"/>
      <c r="P73" s="432"/>
      <c r="Q73" s="432"/>
      <c r="R73" s="432"/>
      <c r="S73" s="432"/>
      <c r="T73" s="432"/>
    </row>
    <row r="74" spans="2:20">
      <c r="B74" s="441" t="s">
        <v>569</v>
      </c>
      <c r="C74" s="356"/>
      <c r="D74" s="358"/>
      <c r="E74" s="358"/>
      <c r="F74" s="358"/>
      <c r="G74" s="358"/>
      <c r="H74" s="358"/>
      <c r="I74" s="358"/>
      <c r="J74" s="358"/>
      <c r="K74" s="103"/>
      <c r="L74" s="103"/>
      <c r="M74" s="103"/>
      <c r="N74" s="103"/>
      <c r="O74" s="103"/>
      <c r="P74" s="103"/>
      <c r="Q74" s="103"/>
      <c r="R74" s="103"/>
      <c r="S74" s="103"/>
    </row>
    <row r="75" spans="2:20">
      <c r="D75" s="431"/>
      <c r="E75" s="431"/>
      <c r="F75" s="431"/>
      <c r="G75" s="431"/>
      <c r="H75" s="431"/>
      <c r="I75" s="431"/>
      <c r="J75" s="431"/>
      <c r="K75" s="103"/>
      <c r="L75" s="103"/>
      <c r="M75" s="103"/>
      <c r="N75" s="103"/>
      <c r="O75" s="103"/>
      <c r="P75" s="103"/>
      <c r="Q75" s="103"/>
      <c r="R75" s="103"/>
      <c r="S75" s="103"/>
    </row>
    <row r="76" spans="2:20">
      <c r="B76" s="79" t="s">
        <v>570</v>
      </c>
      <c r="C76" s="432" t="str">
        <f>Data!$C$9</f>
        <v>£m 20/21</v>
      </c>
      <c r="D76" s="433">
        <v>0</v>
      </c>
      <c r="E76" s="433">
        <v>0</v>
      </c>
      <c r="F76" s="433">
        <v>0</v>
      </c>
      <c r="G76" s="433">
        <v>0</v>
      </c>
      <c r="H76" s="433">
        <v>0</v>
      </c>
      <c r="I76" s="465">
        <f>SUM(D76:INDEX(D76:H76,0,MATCH('RFPR cover'!$C$9,$D$6:$H$6,0)))</f>
        <v>0</v>
      </c>
      <c r="J76" s="466">
        <f>SUM(D76:H76)</f>
        <v>0</v>
      </c>
      <c r="K76" s="103"/>
      <c r="L76" s="103"/>
      <c r="M76" s="103"/>
      <c r="N76" s="103"/>
      <c r="O76" s="103"/>
      <c r="P76" s="103"/>
      <c r="Q76" s="103"/>
      <c r="R76" s="103"/>
      <c r="S76" s="103"/>
    </row>
    <row r="77" spans="2:20" ht="16.5" customHeight="1">
      <c r="B77" s="434" t="s">
        <v>571</v>
      </c>
      <c r="C77" s="442" t="str">
        <f>Data!$C$9</f>
        <v>£m 20/21</v>
      </c>
      <c r="D77" s="433">
        <v>0</v>
      </c>
      <c r="E77" s="433">
        <v>0</v>
      </c>
      <c r="F77" s="433">
        <v>0</v>
      </c>
      <c r="G77" s="433">
        <v>0</v>
      </c>
      <c r="H77" s="433">
        <v>0</v>
      </c>
      <c r="I77" s="470">
        <f>SUM(D77:INDEX(D77:H77,0,MATCH('RFPR cover'!$C$9,$D$6:$H$6,0)))</f>
        <v>0</v>
      </c>
      <c r="J77" s="471">
        <f>SUM(D77:H77)</f>
        <v>0</v>
      </c>
      <c r="K77" s="443"/>
      <c r="L77" s="443"/>
      <c r="M77" s="443"/>
      <c r="N77" s="443"/>
      <c r="O77" s="443"/>
      <c r="P77" s="443"/>
      <c r="Q77" s="443"/>
      <c r="R77" s="443"/>
      <c r="S77" s="443"/>
    </row>
    <row r="78" spans="2:20">
      <c r="B78" s="78" t="s">
        <v>557</v>
      </c>
      <c r="C78" s="432" t="str">
        <f>Data!$C$9</f>
        <v>£m 20/21</v>
      </c>
      <c r="D78" s="459">
        <f>D77-D76</f>
        <v>0</v>
      </c>
      <c r="E78" s="459">
        <f t="shared" ref="E78:J78" si="35">E77-E76</f>
        <v>0</v>
      </c>
      <c r="F78" s="459">
        <f t="shared" si="35"/>
        <v>0</v>
      </c>
      <c r="G78" s="459">
        <f t="shared" si="35"/>
        <v>0</v>
      </c>
      <c r="H78" s="459">
        <f t="shared" si="35"/>
        <v>0</v>
      </c>
      <c r="I78" s="141">
        <f t="shared" si="35"/>
        <v>0</v>
      </c>
      <c r="J78" s="225">
        <f t="shared" si="35"/>
        <v>0</v>
      </c>
      <c r="K78" s="103"/>
      <c r="L78" s="103"/>
      <c r="M78" s="103"/>
      <c r="N78" s="103"/>
      <c r="O78" s="103"/>
      <c r="P78" s="103"/>
      <c r="Q78" s="103"/>
      <c r="R78" s="103"/>
      <c r="S78" s="103"/>
    </row>
    <row r="79" spans="2:20">
      <c r="B79" s="78"/>
      <c r="C79" s="432"/>
      <c r="D79" s="436"/>
      <c r="E79" s="436"/>
      <c r="F79" s="436"/>
      <c r="G79" s="436"/>
      <c r="H79" s="436"/>
      <c r="I79" s="436"/>
      <c r="J79" s="436"/>
      <c r="K79" s="103"/>
      <c r="L79" s="103"/>
      <c r="M79" s="103"/>
      <c r="N79" s="103"/>
      <c r="O79" s="103"/>
      <c r="P79" s="103"/>
      <c r="Q79" s="103"/>
      <c r="R79" s="103"/>
      <c r="S79" s="103"/>
    </row>
    <row r="80" spans="2:20">
      <c r="B80" s="353" t="s">
        <v>558</v>
      </c>
      <c r="C80" s="29" t="s">
        <v>486</v>
      </c>
      <c r="D80" s="469">
        <f>INDEX(Data!$C$63:$C$91,MATCH('RFPR cover'!$C$7,Data!$B$63:$B$91,0),0)</f>
        <v>0.5</v>
      </c>
      <c r="E80" s="469">
        <f>INDEX(Data!$C$63:$C$91,MATCH('RFPR cover'!$C$7,Data!$B$63:$B$91,0),0)</f>
        <v>0.5</v>
      </c>
      <c r="F80" s="469">
        <f>INDEX(Data!$C$63:$C$91,MATCH('RFPR cover'!$C$7,Data!$B$63:$B$91,0),0)</f>
        <v>0.5</v>
      </c>
      <c r="G80" s="469">
        <f>INDEX(Data!$C$63:$C$91,MATCH('RFPR cover'!$C$7,Data!$B$63:$B$91,0),0)</f>
        <v>0.5</v>
      </c>
      <c r="H80" s="469">
        <f>INDEX(Data!$C$63:$C$91,MATCH('RFPR cover'!$C$7,Data!$B$63:$B$91,0),0)</f>
        <v>0.5</v>
      </c>
      <c r="I80" s="438"/>
      <c r="J80" s="438"/>
      <c r="K80" s="103"/>
      <c r="L80" s="103"/>
      <c r="M80" s="103"/>
      <c r="N80" s="103"/>
      <c r="O80" s="103"/>
      <c r="P80" s="103"/>
      <c r="Q80" s="103"/>
      <c r="R80" s="103"/>
      <c r="S80" s="103"/>
    </row>
    <row r="81" spans="2:19">
      <c r="K81" s="103"/>
      <c r="L81" s="103"/>
      <c r="M81" s="103"/>
      <c r="N81" s="103"/>
      <c r="O81" s="103"/>
      <c r="P81" s="103"/>
      <c r="Q81" s="103"/>
      <c r="R81" s="103"/>
      <c r="S81" s="103"/>
    </row>
    <row r="82" spans="2:19">
      <c r="B82" s="353" t="s">
        <v>559</v>
      </c>
      <c r="C82" s="432" t="str">
        <f>Data!$C$9</f>
        <v>£m 20/21</v>
      </c>
      <c r="D82" s="459">
        <f>D78*D80</f>
        <v>0</v>
      </c>
      <c r="E82" s="459">
        <f t="shared" ref="E82:H82" si="36">E78*E80</f>
        <v>0</v>
      </c>
      <c r="F82" s="459">
        <f t="shared" si="36"/>
        <v>0</v>
      </c>
      <c r="G82" s="459">
        <f t="shared" si="36"/>
        <v>0</v>
      </c>
      <c r="H82" s="459">
        <f t="shared" si="36"/>
        <v>0</v>
      </c>
      <c r="I82" s="50">
        <f>SUM(D82:INDEX(D82:H82,0,MATCH('RFPR cover'!$C$9,$D$6:$H$6,0)))</f>
        <v>0</v>
      </c>
      <c r="J82" s="74">
        <f>SUM(D82:H82)</f>
        <v>0</v>
      </c>
      <c r="K82" s="103"/>
      <c r="L82" s="103"/>
      <c r="M82" s="103"/>
      <c r="N82" s="103"/>
      <c r="O82" s="103"/>
      <c r="P82" s="103"/>
      <c r="Q82" s="103"/>
      <c r="R82" s="103"/>
      <c r="S82" s="103"/>
    </row>
    <row r="83" spans="2:19">
      <c r="B83" s="353" t="s">
        <v>560</v>
      </c>
      <c r="C83" s="432" t="str">
        <f>Data!$C$9</f>
        <v>£m 20/21</v>
      </c>
      <c r="D83" s="459">
        <f>D78*(1-D80)</f>
        <v>0</v>
      </c>
      <c r="E83" s="459">
        <f t="shared" ref="E83:H83" si="37">E78*(1-E80)</f>
        <v>0</v>
      </c>
      <c r="F83" s="459">
        <f t="shared" si="37"/>
        <v>0</v>
      </c>
      <c r="G83" s="459">
        <f t="shared" si="37"/>
        <v>0</v>
      </c>
      <c r="H83" s="459">
        <f t="shared" si="37"/>
        <v>0</v>
      </c>
      <c r="I83" s="75">
        <f>SUM(D83:INDEX(D83:H83,0,MATCH('RFPR cover'!$C$9,$D$6:$H$6,0)))</f>
        <v>0</v>
      </c>
      <c r="J83" s="76">
        <f>SUM(D83:H83)</f>
        <v>0</v>
      </c>
      <c r="K83" s="103"/>
      <c r="L83" s="103"/>
      <c r="M83" s="103"/>
      <c r="N83" s="103"/>
      <c r="O83" s="103"/>
      <c r="P83" s="103"/>
      <c r="Q83" s="103"/>
      <c r="R83" s="103"/>
      <c r="S83" s="103"/>
    </row>
    <row r="84" spans="2:19">
      <c r="C84" s="353"/>
      <c r="D84" s="353"/>
      <c r="E84" s="353"/>
      <c r="F84" s="353"/>
      <c r="G84" s="353"/>
      <c r="H84" s="353"/>
      <c r="I84" s="353"/>
      <c r="J84" s="353"/>
      <c r="K84" s="353"/>
      <c r="L84" s="353"/>
      <c r="M84" s="103"/>
      <c r="N84" s="103"/>
      <c r="O84" s="103"/>
      <c r="P84" s="103"/>
      <c r="Q84" s="103"/>
      <c r="R84" s="103"/>
      <c r="S84" s="103"/>
    </row>
    <row r="85" spans="2:19">
      <c r="B85" s="360" t="s">
        <v>561</v>
      </c>
      <c r="K85" s="353"/>
      <c r="L85" s="353"/>
      <c r="M85" s="103"/>
      <c r="N85" s="103"/>
      <c r="O85" s="103"/>
      <c r="P85" s="103"/>
      <c r="Q85" s="103"/>
      <c r="R85" s="103"/>
      <c r="S85" s="103"/>
    </row>
    <row r="86" spans="2:19">
      <c r="B86" s="366" t="s">
        <v>839</v>
      </c>
      <c r="C86" s="432" t="str">
        <f>Data!$C$9</f>
        <v>£m 20/21</v>
      </c>
      <c r="D86" s="439">
        <v>0</v>
      </c>
      <c r="E86" s="439">
        <v>0</v>
      </c>
      <c r="F86" s="439">
        <v>0</v>
      </c>
      <c r="G86" s="439">
        <v>0</v>
      </c>
      <c r="H86" s="439">
        <v>0</v>
      </c>
      <c r="I86" s="15">
        <f>SUM(D86:INDEX(D86:H86,0,MATCH('RFPR cover'!$C$9,$D$6:$H$6,0)))</f>
        <v>0</v>
      </c>
      <c r="J86" s="17">
        <f>SUM(D86:H86)</f>
        <v>0</v>
      </c>
      <c r="K86" s="353"/>
      <c r="L86" s="353"/>
      <c r="M86" s="103"/>
      <c r="N86" s="103"/>
      <c r="O86" s="103"/>
      <c r="P86" s="103"/>
      <c r="Q86" s="103"/>
      <c r="R86" s="103"/>
      <c r="S86" s="103"/>
    </row>
    <row r="87" spans="2:19">
      <c r="B87" s="366" t="s">
        <v>838</v>
      </c>
      <c r="C87" s="432" t="str">
        <f>Data!$C$9</f>
        <v>£m 20/21</v>
      </c>
      <c r="D87" s="439">
        <v>0</v>
      </c>
      <c r="E87" s="439">
        <v>0</v>
      </c>
      <c r="F87" s="439">
        <v>0</v>
      </c>
      <c r="G87" s="439">
        <v>0</v>
      </c>
      <c r="H87" s="439">
        <v>0</v>
      </c>
      <c r="I87" s="15">
        <f>SUM(D87:INDEX(D87:H87,0,MATCH('RFPR cover'!$C$9,$D$6:$H$6,0)))</f>
        <v>0</v>
      </c>
      <c r="J87" s="17">
        <f t="shared" ref="J87:J88" si="38">SUM(D87:H87)</f>
        <v>0</v>
      </c>
      <c r="K87" s="353"/>
      <c r="L87" s="353"/>
      <c r="M87" s="103"/>
      <c r="N87" s="103"/>
      <c r="O87" s="103"/>
      <c r="P87" s="103"/>
      <c r="Q87" s="103"/>
      <c r="R87" s="103"/>
      <c r="S87" s="103"/>
    </row>
    <row r="88" spans="2:19">
      <c r="B88" s="360" t="s">
        <v>562</v>
      </c>
      <c r="C88" s="432" t="str">
        <f>Data!$C$9</f>
        <v>£m 20/21</v>
      </c>
      <c r="D88" s="459">
        <f>SUM(D86:D87)</f>
        <v>0</v>
      </c>
      <c r="E88" s="459">
        <f t="shared" ref="E88" si="39">SUM(E86:E87)</f>
        <v>0</v>
      </c>
      <c r="F88" s="459">
        <f t="shared" ref="F88" si="40">SUM(F86:F87)</f>
        <v>0</v>
      </c>
      <c r="G88" s="459">
        <f t="shared" ref="G88" si="41">SUM(G86:G87)</f>
        <v>0</v>
      </c>
      <c r="H88" s="459">
        <f t="shared" ref="H88" si="42">SUM(H86:H87)</f>
        <v>0</v>
      </c>
      <c r="I88" s="15">
        <f>SUM(D88:INDEX(D88:H88,0,MATCH('RFPR cover'!$C$9,$D$6:$H$6,0)))</f>
        <v>0</v>
      </c>
      <c r="J88" s="17">
        <f t="shared" si="38"/>
        <v>0</v>
      </c>
      <c r="K88" s="353"/>
      <c r="L88" s="353"/>
      <c r="M88" s="103"/>
      <c r="N88" s="103"/>
      <c r="O88" s="103"/>
      <c r="P88" s="103"/>
      <c r="Q88" s="103"/>
      <c r="R88" s="103"/>
      <c r="S88" s="103"/>
    </row>
    <row r="89" spans="2:19">
      <c r="B89" s="360"/>
      <c r="C89" s="360"/>
      <c r="D89" s="360"/>
      <c r="E89" s="360"/>
      <c r="F89" s="360"/>
      <c r="G89" s="360"/>
      <c r="H89" s="360"/>
      <c r="I89" s="360"/>
      <c r="J89" s="360"/>
      <c r="K89" s="353"/>
      <c r="L89" s="353"/>
      <c r="M89" s="103"/>
      <c r="N89" s="103"/>
      <c r="O89" s="103"/>
      <c r="P89" s="103"/>
      <c r="Q89" s="103"/>
      <c r="R89" s="103"/>
      <c r="S89" s="103"/>
    </row>
    <row r="90" spans="2:19">
      <c r="B90" s="353" t="s">
        <v>564</v>
      </c>
      <c r="C90" s="432"/>
      <c r="D90" s="459">
        <f>D88*D80</f>
        <v>0</v>
      </c>
      <c r="E90" s="459">
        <f t="shared" ref="E90:H90" si="43">E88*E80</f>
        <v>0</v>
      </c>
      <c r="F90" s="459">
        <f t="shared" si="43"/>
        <v>0</v>
      </c>
      <c r="G90" s="459">
        <f t="shared" si="43"/>
        <v>0</v>
      </c>
      <c r="H90" s="459">
        <f t="shared" si="43"/>
        <v>0</v>
      </c>
      <c r="I90" s="18">
        <f>SUM(D90:INDEX(D90:H90,0,MATCH('RFPR cover'!$C$9,$D$6:$H$6,0)))</f>
        <v>0</v>
      </c>
      <c r="J90" s="20">
        <f>SUM(D90:H90)</f>
        <v>0</v>
      </c>
      <c r="K90" s="353"/>
      <c r="L90" s="353"/>
      <c r="M90" s="103"/>
      <c r="N90" s="103"/>
      <c r="O90" s="103"/>
      <c r="P90" s="103"/>
      <c r="Q90" s="103"/>
      <c r="R90" s="103"/>
      <c r="S90" s="103"/>
    </row>
    <row r="91" spans="2:19">
      <c r="B91" s="353" t="s">
        <v>565</v>
      </c>
      <c r="C91" s="432"/>
      <c r="D91" s="459">
        <f>D88*(1-D80)</f>
        <v>0</v>
      </c>
      <c r="E91" s="459">
        <f t="shared" ref="E91:H91" si="44">E88*(1-E80)</f>
        <v>0</v>
      </c>
      <c r="F91" s="459">
        <f t="shared" si="44"/>
        <v>0</v>
      </c>
      <c r="G91" s="459">
        <f t="shared" si="44"/>
        <v>0</v>
      </c>
      <c r="H91" s="459">
        <f t="shared" si="44"/>
        <v>0</v>
      </c>
      <c r="I91" s="15">
        <v>0</v>
      </c>
      <c r="J91" s="17">
        <f>SUM(D91:H91)</f>
        <v>0</v>
      </c>
      <c r="K91" s="353"/>
      <c r="L91" s="353"/>
      <c r="M91" s="103"/>
      <c r="N91" s="103"/>
      <c r="O91" s="103"/>
      <c r="P91" s="103"/>
      <c r="Q91" s="103"/>
      <c r="R91" s="103"/>
      <c r="S91" s="103"/>
    </row>
    <row r="92" spans="2:19">
      <c r="B92" s="360"/>
      <c r="C92" s="360"/>
      <c r="D92" s="360"/>
      <c r="E92" s="360"/>
      <c r="F92" s="360"/>
      <c r="G92" s="360"/>
      <c r="H92" s="360"/>
      <c r="I92" s="360"/>
      <c r="J92" s="360"/>
      <c r="K92" s="353"/>
      <c r="L92" s="353"/>
      <c r="M92" s="103"/>
      <c r="N92" s="103"/>
      <c r="O92" s="103"/>
      <c r="P92" s="103"/>
      <c r="Q92" s="103"/>
      <c r="R92" s="103"/>
      <c r="S92" s="103"/>
    </row>
    <row r="93" spans="2:19">
      <c r="B93" s="360" t="s">
        <v>566</v>
      </c>
      <c r="C93" s="360"/>
      <c r="D93" s="360"/>
      <c r="E93" s="360"/>
      <c r="F93" s="360"/>
      <c r="G93" s="360"/>
      <c r="H93" s="360"/>
      <c r="I93" s="360"/>
      <c r="J93" s="360"/>
      <c r="K93" s="353"/>
      <c r="L93" s="353"/>
      <c r="M93" s="103"/>
      <c r="N93" s="103"/>
      <c r="O93" s="103"/>
      <c r="P93" s="103"/>
      <c r="Q93" s="103"/>
      <c r="R93" s="103"/>
      <c r="S93" s="103"/>
    </row>
    <row r="94" spans="2:19">
      <c r="B94" s="353" t="s">
        <v>559</v>
      </c>
      <c r="C94" s="432" t="str">
        <f>Data!$C$9</f>
        <v>£m 20/21</v>
      </c>
      <c r="D94" s="459">
        <f>D90+D82</f>
        <v>0</v>
      </c>
      <c r="E94" s="459">
        <f t="shared" ref="E94:H94" si="45">E90+E82</f>
        <v>0</v>
      </c>
      <c r="F94" s="459">
        <f t="shared" si="45"/>
        <v>0</v>
      </c>
      <c r="G94" s="459">
        <f t="shared" si="45"/>
        <v>0</v>
      </c>
      <c r="H94" s="459">
        <f t="shared" si="45"/>
        <v>0</v>
      </c>
      <c r="I94" s="15">
        <f>SUM(D94:INDEX(D94:H94,0,MATCH('RFPR cover'!$C$9,$D$6:$H$6,0)))</f>
        <v>0</v>
      </c>
      <c r="J94" s="17">
        <f>SUM(D94:H94)</f>
        <v>0</v>
      </c>
      <c r="K94" s="353"/>
      <c r="L94" s="353"/>
      <c r="M94" s="103"/>
      <c r="N94" s="103"/>
      <c r="O94" s="103"/>
      <c r="P94" s="103"/>
      <c r="Q94" s="103"/>
      <c r="R94" s="103"/>
      <c r="S94" s="103"/>
    </row>
    <row r="95" spans="2:19">
      <c r="B95" s="353" t="s">
        <v>560</v>
      </c>
      <c r="C95" s="432" t="str">
        <f>Data!$C$9</f>
        <v>£m 20/21</v>
      </c>
      <c r="D95" s="459">
        <f>D83+D91</f>
        <v>0</v>
      </c>
      <c r="E95" s="459">
        <f t="shared" ref="E95:H95" si="46">E83+E91</f>
        <v>0</v>
      </c>
      <c r="F95" s="459">
        <f t="shared" si="46"/>
        <v>0</v>
      </c>
      <c r="G95" s="459">
        <f t="shared" si="46"/>
        <v>0</v>
      </c>
      <c r="H95" s="459">
        <f t="shared" si="46"/>
        <v>0</v>
      </c>
      <c r="I95" s="15">
        <f>SUM(D95:INDEX(D95:H95,0,MATCH('RFPR cover'!$C$9,$D$6:$H$6,0)))</f>
        <v>0</v>
      </c>
      <c r="J95" s="17">
        <f t="shared" ref="J95:J96" si="47">SUM(D95:H95)</f>
        <v>0</v>
      </c>
      <c r="K95" s="353"/>
      <c r="L95" s="353"/>
      <c r="M95" s="103"/>
      <c r="N95" s="103"/>
      <c r="O95" s="103"/>
      <c r="P95" s="103"/>
      <c r="Q95" s="103"/>
      <c r="R95" s="103"/>
      <c r="S95" s="103"/>
    </row>
    <row r="96" spans="2:19">
      <c r="B96" s="360" t="s">
        <v>567</v>
      </c>
      <c r="C96" s="440" t="str">
        <f>Data!$C$9</f>
        <v>£m 20/21</v>
      </c>
      <c r="D96" s="459">
        <f>SUM(D94:D95)</f>
        <v>0</v>
      </c>
      <c r="E96" s="459">
        <f t="shared" ref="E96:H96" si="48">SUM(E94:E95)</f>
        <v>0</v>
      </c>
      <c r="F96" s="459">
        <f t="shared" si="48"/>
        <v>0</v>
      </c>
      <c r="G96" s="459">
        <f t="shared" si="48"/>
        <v>0</v>
      </c>
      <c r="H96" s="459">
        <f t="shared" si="48"/>
        <v>0</v>
      </c>
      <c r="I96" s="15">
        <f>SUM(D96:INDEX(D96:H96,0,MATCH('RFPR cover'!$C$9,$D$6:$H$6,0)))</f>
        <v>0</v>
      </c>
      <c r="J96" s="17">
        <f t="shared" si="47"/>
        <v>0</v>
      </c>
      <c r="K96" s="103"/>
      <c r="L96" s="103"/>
      <c r="M96" s="103"/>
      <c r="N96" s="103"/>
      <c r="O96" s="103"/>
      <c r="P96" s="103"/>
      <c r="Q96" s="103"/>
      <c r="R96" s="103"/>
      <c r="S96" s="103"/>
    </row>
    <row r="97" spans="2:19">
      <c r="K97" s="103"/>
      <c r="L97" s="103"/>
      <c r="M97" s="103"/>
      <c r="N97" s="103"/>
      <c r="O97" s="103"/>
      <c r="P97" s="103"/>
      <c r="Q97" s="103"/>
      <c r="R97" s="103"/>
      <c r="S97" s="103"/>
    </row>
    <row r="98" spans="2:19">
      <c r="B98" s="355" t="s">
        <v>572</v>
      </c>
      <c r="C98" s="356"/>
      <c r="D98" s="358"/>
      <c r="E98" s="358"/>
      <c r="F98" s="358"/>
      <c r="G98" s="358"/>
      <c r="H98" s="358"/>
      <c r="I98" s="358"/>
      <c r="J98" s="358"/>
      <c r="Q98" s="103"/>
      <c r="R98" s="103"/>
      <c r="S98" s="103"/>
    </row>
    <row r="99" spans="2:19">
      <c r="K99" s="103"/>
      <c r="L99" s="103"/>
      <c r="M99" s="103"/>
      <c r="N99" s="103"/>
      <c r="O99" s="103"/>
      <c r="P99" s="103"/>
      <c r="Q99" s="103"/>
      <c r="R99" s="103"/>
      <c r="S99" s="103"/>
    </row>
    <row r="100" spans="2:19">
      <c r="B100" s="360" t="s">
        <v>573</v>
      </c>
      <c r="Q100" s="103"/>
      <c r="R100" s="103"/>
      <c r="S100" s="103"/>
    </row>
    <row r="101" spans="2:19">
      <c r="B101" s="353" t="s">
        <v>574</v>
      </c>
      <c r="C101" s="432" t="str">
        <f>Data!$C$9</f>
        <v>£m 20/21</v>
      </c>
      <c r="D101" s="459">
        <f t="shared" ref="D101:H102" si="49">D41+D70+D94</f>
        <v>0</v>
      </c>
      <c r="E101" s="459">
        <f t="shared" si="49"/>
        <v>0</v>
      </c>
      <c r="F101" s="459">
        <f t="shared" si="49"/>
        <v>0</v>
      </c>
      <c r="G101" s="459">
        <f t="shared" si="49"/>
        <v>0</v>
      </c>
      <c r="H101" s="459">
        <f t="shared" si="49"/>
        <v>0</v>
      </c>
      <c r="I101" s="15">
        <f>SUM(D101:INDEX(D101:H101,0,MATCH('RFPR cover'!$C$9,$D$6:$H$6,0)))</f>
        <v>0</v>
      </c>
      <c r="J101" s="17">
        <f>SUM(D101:H101)</f>
        <v>0</v>
      </c>
      <c r="Q101" s="103"/>
      <c r="R101" s="392"/>
      <c r="S101" s="103"/>
    </row>
    <row r="102" spans="2:19">
      <c r="B102" s="353" t="s">
        <v>560</v>
      </c>
      <c r="C102" s="432" t="str">
        <f>Data!$C$9</f>
        <v>£m 20/21</v>
      </c>
      <c r="D102" s="459">
        <f t="shared" si="49"/>
        <v>0</v>
      </c>
      <c r="E102" s="459">
        <f t="shared" si="49"/>
        <v>0</v>
      </c>
      <c r="F102" s="459">
        <f t="shared" si="49"/>
        <v>0</v>
      </c>
      <c r="G102" s="459">
        <f t="shared" si="49"/>
        <v>0</v>
      </c>
      <c r="H102" s="459">
        <f t="shared" si="49"/>
        <v>0</v>
      </c>
      <c r="I102" s="15">
        <f>SUM(D102:INDEX(D102:H102,0,MATCH('RFPR cover'!$C$9,$D$6:$H$6,0)))</f>
        <v>0</v>
      </c>
      <c r="J102" s="17">
        <f t="shared" ref="J102:J103" si="50">SUM(D102:H102)</f>
        <v>0</v>
      </c>
      <c r="Q102" s="103"/>
      <c r="R102" s="103"/>
      <c r="S102" s="103"/>
    </row>
    <row r="103" spans="2:19">
      <c r="B103" s="360" t="s">
        <v>575</v>
      </c>
      <c r="C103" s="440" t="str">
        <f>Data!$C$9</f>
        <v>£m 20/21</v>
      </c>
      <c r="D103" s="459">
        <f>SUM(D101:D102)</f>
        <v>0</v>
      </c>
      <c r="E103" s="459">
        <f t="shared" ref="E103:H103" si="51">SUM(E101:E102)</f>
        <v>0</v>
      </c>
      <c r="F103" s="459">
        <f t="shared" si="51"/>
        <v>0</v>
      </c>
      <c r="G103" s="459">
        <f t="shared" si="51"/>
        <v>0</v>
      </c>
      <c r="H103" s="459">
        <f t="shared" si="51"/>
        <v>0</v>
      </c>
      <c r="I103" s="15">
        <f>SUM(D103:INDEX(D103:H103,0,MATCH('RFPR cover'!$C$9,$D$6:$H$6,0)))</f>
        <v>0</v>
      </c>
      <c r="J103" s="17">
        <f t="shared" si="50"/>
        <v>0</v>
      </c>
      <c r="Q103" s="103"/>
      <c r="R103" s="103"/>
      <c r="S103" s="103"/>
    </row>
    <row r="104" spans="2:19">
      <c r="B104" s="360"/>
      <c r="C104" s="440"/>
      <c r="D104" s="440"/>
      <c r="E104" s="440"/>
      <c r="F104" s="440"/>
      <c r="G104" s="440"/>
      <c r="H104" s="440"/>
      <c r="I104" s="440"/>
      <c r="J104" s="440"/>
      <c r="Q104" s="103"/>
      <c r="R104" s="103"/>
      <c r="S104" s="103"/>
    </row>
    <row r="105" spans="2:19">
      <c r="B105" s="424" t="s">
        <v>576</v>
      </c>
      <c r="C105" s="425"/>
      <c r="D105" s="425"/>
      <c r="E105" s="425"/>
      <c r="F105" s="425"/>
      <c r="G105" s="425"/>
      <c r="H105" s="426"/>
      <c r="I105" s="426"/>
      <c r="J105" s="426"/>
    </row>
    <row r="107" spans="2:19">
      <c r="B107" s="303"/>
    </row>
    <row r="108" spans="2:19">
      <c r="B108" s="444"/>
      <c r="D108" s="302" t="str">
        <f t="shared" ref="D108:H108" si="52">IF(D109&lt;=Reporting_Year,"Actuals","N/A")</f>
        <v>Actuals</v>
      </c>
      <c r="E108" s="445" t="str">
        <f t="shared" si="52"/>
        <v>N/A</v>
      </c>
      <c r="F108" s="445" t="str">
        <f t="shared" si="52"/>
        <v>N/A</v>
      </c>
      <c r="G108" s="445" t="str">
        <f t="shared" si="52"/>
        <v>N/A</v>
      </c>
      <c r="H108" s="445" t="str">
        <f t="shared" si="52"/>
        <v>N/A</v>
      </c>
    </row>
    <row r="109" spans="2:19">
      <c r="B109" s="303"/>
      <c r="D109" s="421">
        <f>'RFPR cover'!$C$6</f>
        <v>2024</v>
      </c>
      <c r="E109" s="422">
        <f t="shared" ref="E109:H109" si="53">D109+1</f>
        <v>2025</v>
      </c>
      <c r="F109" s="422">
        <f t="shared" si="53"/>
        <v>2026</v>
      </c>
      <c r="G109" s="422">
        <f t="shared" si="53"/>
        <v>2027</v>
      </c>
      <c r="H109" s="422">
        <f t="shared" si="53"/>
        <v>2028</v>
      </c>
    </row>
    <row r="110" spans="2:19">
      <c r="B110" s="303"/>
      <c r="D110" s="307" t="str">
        <f>RIIO_2_start_date-1&amp;"/"&amp;RIGHT(RIIO_2_start_date,2)</f>
        <v>2023/24</v>
      </c>
      <c r="E110" s="307" t="str">
        <f>RIIO_2_start_date&amp;"/"&amp;RIGHT(RIIO_2_start_date+1,2)</f>
        <v>2024/25</v>
      </c>
      <c r="F110" s="307" t="str">
        <f>RIIO_2_start_date+1&amp;"/"&amp;RIGHT(RIIO_2_start_date+2,2)</f>
        <v>2025/26</v>
      </c>
      <c r="G110" s="307" t="str">
        <f>RIIO_2_start_date+2&amp;"/"&amp;RIGHT(RIIO_2_start_date+3,2)</f>
        <v>2026/27</v>
      </c>
      <c r="H110" s="307" t="str">
        <f>RIIO_2_start_date+3&amp;"/"&amp;RIGHT(RIIO_2_start_date+4,2)</f>
        <v>2027/28</v>
      </c>
    </row>
    <row r="111" spans="2:19">
      <c r="B111" s="303"/>
      <c r="D111" s="29"/>
      <c r="E111" s="29"/>
      <c r="F111" s="29"/>
      <c r="G111" s="29"/>
      <c r="H111" s="29"/>
      <c r="I111" s="29"/>
    </row>
    <row r="112" spans="2:19">
      <c r="B112" s="446" t="s">
        <v>577</v>
      </c>
      <c r="C112" s="40"/>
      <c r="D112" s="446"/>
      <c r="E112" s="446"/>
      <c r="F112" s="446"/>
      <c r="G112" s="446"/>
      <c r="H112" s="446"/>
      <c r="Q112" s="103"/>
    </row>
    <row r="113" spans="1:19">
      <c r="B113" s="366" t="s">
        <v>842</v>
      </c>
      <c r="C113" s="29" t="s">
        <v>507</v>
      </c>
      <c r="D113" s="365">
        <v>262</v>
      </c>
      <c r="E113" s="365"/>
      <c r="F113" s="365"/>
      <c r="G113" s="365"/>
      <c r="H113" s="365"/>
    </row>
    <row r="114" spans="1:19">
      <c r="B114" s="366" t="s">
        <v>843</v>
      </c>
      <c r="C114" s="29" t="s">
        <v>507</v>
      </c>
      <c r="D114" s="365">
        <v>3</v>
      </c>
      <c r="E114" s="439"/>
      <c r="F114" s="439"/>
      <c r="G114" s="365"/>
      <c r="H114" s="365"/>
    </row>
    <row r="115" spans="1:19">
      <c r="B115" s="366" t="s">
        <v>844</v>
      </c>
      <c r="C115" s="29" t="s">
        <v>507</v>
      </c>
      <c r="D115" s="365">
        <v>-0.75539912000000009</v>
      </c>
      <c r="E115" s="439"/>
      <c r="F115" s="439"/>
      <c r="G115" s="439"/>
      <c r="H115" s="439"/>
    </row>
    <row r="116" spans="1:19">
      <c r="B116" s="366" t="s">
        <v>845</v>
      </c>
      <c r="C116" s="29" t="s">
        <v>507</v>
      </c>
      <c r="D116" s="365">
        <v>-39.6</v>
      </c>
      <c r="E116" s="365"/>
      <c r="F116" s="365"/>
      <c r="G116" s="365"/>
      <c r="H116" s="365"/>
    </row>
    <row r="117" spans="1:19">
      <c r="B117" s="366" t="s">
        <v>846</v>
      </c>
      <c r="C117" s="29" t="s">
        <v>507</v>
      </c>
      <c r="D117" s="365">
        <v>-0.28847734999999997</v>
      </c>
      <c r="E117" s="439"/>
      <c r="F117" s="439"/>
      <c r="G117" s="439"/>
      <c r="H117" s="439"/>
      <c r="R117" s="103"/>
      <c r="S117" s="103"/>
    </row>
    <row r="118" spans="1:19">
      <c r="B118" s="366" t="s">
        <v>847</v>
      </c>
      <c r="C118" s="29" t="s">
        <v>507</v>
      </c>
      <c r="D118" s="365">
        <v>0</v>
      </c>
      <c r="E118" s="447"/>
      <c r="F118" s="447"/>
      <c r="G118" s="447"/>
      <c r="H118" s="447"/>
    </row>
    <row r="119" spans="1:19">
      <c r="A119" s="444"/>
      <c r="B119" s="366" t="s">
        <v>848</v>
      </c>
      <c r="C119" s="29" t="s">
        <v>507</v>
      </c>
      <c r="D119" s="365">
        <v>0</v>
      </c>
      <c r="E119" s="448"/>
      <c r="F119" s="448"/>
      <c r="G119" s="448"/>
      <c r="H119" s="448"/>
    </row>
    <row r="120" spans="1:19">
      <c r="A120" s="444"/>
      <c r="B120" s="366" t="s">
        <v>849</v>
      </c>
      <c r="C120" s="29" t="s">
        <v>507</v>
      </c>
      <c r="D120" s="365">
        <v>1.5</v>
      </c>
      <c r="E120" s="439"/>
      <c r="F120" s="439"/>
      <c r="G120" s="439"/>
      <c r="H120" s="439"/>
    </row>
    <row r="121" spans="1:19">
      <c r="A121" s="444"/>
      <c r="B121" s="366" t="s">
        <v>850</v>
      </c>
      <c r="C121" s="29" t="s">
        <v>507</v>
      </c>
      <c r="D121" s="365">
        <v>0</v>
      </c>
      <c r="E121" s="449"/>
      <c r="F121" s="449"/>
      <c r="G121" s="449"/>
      <c r="H121" s="449"/>
    </row>
    <row r="122" spans="1:19">
      <c r="B122" s="446" t="s">
        <v>578</v>
      </c>
      <c r="C122" s="29" t="s">
        <v>507</v>
      </c>
      <c r="D122" s="472">
        <f t="shared" ref="D122:H122" si="54">SUM(D113:D121)</f>
        <v>225.85612353000002</v>
      </c>
      <c r="E122" s="473">
        <f t="shared" si="54"/>
        <v>0</v>
      </c>
      <c r="F122" s="473">
        <f t="shared" si="54"/>
        <v>0</v>
      </c>
      <c r="G122" s="473">
        <f t="shared" si="54"/>
        <v>0</v>
      </c>
      <c r="H122" s="474">
        <f t="shared" si="54"/>
        <v>0</v>
      </c>
    </row>
    <row r="123" spans="1:19">
      <c r="B123" s="446"/>
      <c r="C123" s="446"/>
      <c r="D123" s="446"/>
      <c r="E123" s="446"/>
      <c r="F123" s="446"/>
      <c r="G123" s="446"/>
      <c r="H123" s="446"/>
      <c r="I123" s="446"/>
      <c r="J123" s="446"/>
      <c r="K123" s="446"/>
      <c r="L123" s="446"/>
      <c r="M123" s="446"/>
    </row>
    <row r="124" spans="1:19">
      <c r="A124" s="444"/>
      <c r="B124" s="366" t="s">
        <v>851</v>
      </c>
      <c r="C124" s="29" t="s">
        <v>507</v>
      </c>
      <c r="D124" s="365">
        <v>126</v>
      </c>
      <c r="E124" s="365"/>
      <c r="F124" s="365"/>
      <c r="G124" s="365"/>
      <c r="H124" s="365"/>
    </row>
    <row r="125" spans="1:19" ht="21" customHeight="1">
      <c r="A125" s="444"/>
      <c r="B125" s="450" t="s">
        <v>579</v>
      </c>
      <c r="C125" s="444"/>
      <c r="D125" s="444"/>
      <c r="E125" s="444"/>
      <c r="F125" s="444"/>
      <c r="G125" s="444"/>
      <c r="H125" s="444"/>
      <c r="I125" s="444"/>
      <c r="J125" s="444"/>
      <c r="K125" s="29"/>
    </row>
    <row r="126" spans="1:19">
      <c r="A126" s="444"/>
      <c r="B126" s="366" t="s">
        <v>852</v>
      </c>
      <c r="C126" s="29" t="s">
        <v>507</v>
      </c>
      <c r="D126" s="365">
        <v>198.7</v>
      </c>
      <c r="E126" s="448"/>
      <c r="F126" s="448"/>
      <c r="G126" s="448"/>
      <c r="H126" s="451"/>
    </row>
    <row r="127" spans="1:19">
      <c r="A127" s="444"/>
      <c r="B127" s="366" t="s">
        <v>853</v>
      </c>
      <c r="C127" s="29" t="s">
        <v>507</v>
      </c>
      <c r="D127" s="365">
        <v>-7.2</v>
      </c>
      <c r="E127" s="439"/>
      <c r="F127" s="439"/>
      <c r="G127" s="439"/>
      <c r="H127" s="452"/>
    </row>
    <row r="128" spans="1:19">
      <c r="A128" s="444"/>
      <c r="B128" s="366" t="s">
        <v>850</v>
      </c>
      <c r="C128" s="29" t="s">
        <v>507</v>
      </c>
      <c r="D128" s="365">
        <v>0</v>
      </c>
      <c r="E128" s="447"/>
      <c r="F128" s="447"/>
      <c r="G128" s="447"/>
      <c r="H128" s="453"/>
    </row>
    <row r="129" spans="1:14">
      <c r="A129" s="444"/>
      <c r="B129" s="446" t="s">
        <v>580</v>
      </c>
      <c r="C129" s="29" t="s">
        <v>507</v>
      </c>
      <c r="D129" s="475">
        <f>SUM(D126:D128)</f>
        <v>191.5</v>
      </c>
      <c r="E129" s="475">
        <f t="shared" ref="E129:H129" si="55">SUM(E126:E128)</f>
        <v>0</v>
      </c>
      <c r="F129" s="475">
        <f t="shared" si="55"/>
        <v>0</v>
      </c>
      <c r="G129" s="475">
        <f t="shared" si="55"/>
        <v>0</v>
      </c>
      <c r="H129" s="475">
        <f t="shared" si="55"/>
        <v>0</v>
      </c>
    </row>
    <row r="130" spans="1:14">
      <c r="A130" s="444"/>
      <c r="B130" s="446"/>
      <c r="C130" s="446"/>
      <c r="D130" s="446"/>
      <c r="E130" s="446"/>
      <c r="F130" s="446"/>
      <c r="G130" s="446"/>
      <c r="H130" s="446"/>
      <c r="I130" s="446"/>
      <c r="J130" s="446"/>
      <c r="K130" s="446"/>
      <c r="L130" s="446"/>
      <c r="M130" s="446"/>
      <c r="N130" s="446"/>
    </row>
    <row r="131" spans="1:14" s="450" customFormat="1" ht="15" customHeight="1">
      <c r="B131" s="454" t="s">
        <v>581</v>
      </c>
      <c r="C131" s="124" t="s">
        <v>507</v>
      </c>
      <c r="D131" s="459">
        <f>SUM(D122,D124,D129)</f>
        <v>543.35612352999999</v>
      </c>
      <c r="E131" s="459">
        <f t="shared" ref="E131:H131" si="56">SUM(E122,E124,E129)</f>
        <v>0</v>
      </c>
      <c r="F131" s="459">
        <f t="shared" si="56"/>
        <v>0</v>
      </c>
      <c r="G131" s="459">
        <f t="shared" si="56"/>
        <v>0</v>
      </c>
      <c r="H131" s="459">
        <f t="shared" si="56"/>
        <v>0</v>
      </c>
    </row>
    <row r="132" spans="1:14" ht="10.5" customHeight="1">
      <c r="B132" s="303"/>
      <c r="D132" s="455"/>
      <c r="E132" s="455"/>
      <c r="F132" s="455"/>
      <c r="G132" s="455"/>
      <c r="H132" s="455"/>
    </row>
    <row r="133" spans="1:14" ht="26.45" customHeight="1">
      <c r="B133" s="446" t="s">
        <v>582</v>
      </c>
    </row>
    <row r="134" spans="1:14">
      <c r="B134" s="456" t="s">
        <v>583</v>
      </c>
    </row>
    <row r="135" spans="1:14">
      <c r="A135" s="444"/>
      <c r="B135" s="366" t="s">
        <v>851</v>
      </c>
      <c r="C135" s="29" t="s">
        <v>507</v>
      </c>
      <c r="D135" s="457">
        <v>-124.69999999999999</v>
      </c>
      <c r="E135" s="457"/>
      <c r="F135" s="457"/>
      <c r="G135" s="457"/>
      <c r="H135" s="457"/>
    </row>
    <row r="136" spans="1:14" ht="6.95" customHeight="1">
      <c r="A136" s="444"/>
      <c r="B136" s="444"/>
      <c r="C136" s="444"/>
      <c r="D136" s="444"/>
      <c r="E136" s="444"/>
    </row>
    <row r="137" spans="1:14">
      <c r="A137" s="444"/>
      <c r="B137" s="366" t="s">
        <v>854</v>
      </c>
      <c r="C137" s="29" t="s">
        <v>507</v>
      </c>
      <c r="D137" s="457">
        <v>-1.5177819999999996E-2</v>
      </c>
      <c r="E137" s="457"/>
      <c r="F137" s="457"/>
      <c r="G137" s="457"/>
      <c r="H137" s="457"/>
    </row>
    <row r="138" spans="1:14">
      <c r="A138" s="444"/>
      <c r="B138" s="366" t="s">
        <v>855</v>
      </c>
      <c r="C138" s="29" t="s">
        <v>507</v>
      </c>
      <c r="D138" s="457">
        <v>-4.7132490612922799</v>
      </c>
      <c r="E138" s="457"/>
      <c r="F138" s="457"/>
      <c r="G138" s="457"/>
      <c r="H138" s="457"/>
    </row>
    <row r="139" spans="1:14">
      <c r="A139" s="444"/>
      <c r="B139" s="366" t="s">
        <v>856</v>
      </c>
      <c r="C139" s="29" t="s">
        <v>507</v>
      </c>
      <c r="D139" s="457">
        <v>3.0916155599999962</v>
      </c>
      <c r="E139" s="457"/>
      <c r="F139" s="457"/>
      <c r="G139" s="457"/>
      <c r="H139" s="457"/>
    </row>
    <row r="140" spans="1:14">
      <c r="A140" s="444"/>
      <c r="B140" s="366" t="s">
        <v>857</v>
      </c>
      <c r="C140" s="29" t="s">
        <v>507</v>
      </c>
      <c r="D140" s="457">
        <v>41.84074309382094</v>
      </c>
      <c r="E140" s="457"/>
      <c r="F140" s="457"/>
      <c r="G140" s="457"/>
      <c r="H140" s="457"/>
    </row>
    <row r="141" spans="1:14">
      <c r="A141" s="444"/>
      <c r="B141" s="366" t="s">
        <v>858</v>
      </c>
      <c r="C141" s="29" t="s">
        <v>507</v>
      </c>
      <c r="D141" s="457">
        <v>-0.77539912</v>
      </c>
      <c r="E141" s="457"/>
      <c r="F141" s="457"/>
      <c r="G141" s="457"/>
      <c r="H141" s="457"/>
    </row>
    <row r="142" spans="1:14">
      <c r="A142" s="444"/>
      <c r="B142" s="366" t="s">
        <v>859</v>
      </c>
      <c r="C142" s="29" t="s">
        <v>507</v>
      </c>
      <c r="D142" s="457">
        <v>-11</v>
      </c>
      <c r="E142" s="457"/>
      <c r="F142" s="457"/>
      <c r="G142" s="457"/>
      <c r="H142" s="457"/>
    </row>
    <row r="143" spans="1:14">
      <c r="A143" s="444"/>
      <c r="B143" s="366" t="s">
        <v>860</v>
      </c>
      <c r="C143" s="29" t="s">
        <v>507</v>
      </c>
      <c r="D143" s="457">
        <v>2.1148675399999988</v>
      </c>
      <c r="E143" s="457"/>
      <c r="F143" s="457"/>
      <c r="G143" s="457"/>
      <c r="H143" s="457"/>
    </row>
    <row r="144" spans="1:14">
      <c r="A144" s="444"/>
      <c r="B144" s="366" t="s">
        <v>850</v>
      </c>
      <c r="C144" s="29" t="s">
        <v>507</v>
      </c>
      <c r="D144" s="457">
        <v>0</v>
      </c>
      <c r="E144" s="457"/>
      <c r="F144" s="457"/>
      <c r="G144" s="457"/>
      <c r="H144" s="457"/>
    </row>
    <row r="145" spans="1:19">
      <c r="A145" s="444"/>
      <c r="B145" s="366" t="s">
        <v>850</v>
      </c>
      <c r="C145" s="29" t="s">
        <v>507</v>
      </c>
      <c r="D145" s="457">
        <v>0</v>
      </c>
      <c r="E145" s="457"/>
      <c r="F145" s="457"/>
      <c r="G145" s="457"/>
      <c r="H145" s="457"/>
    </row>
    <row r="146" spans="1:19">
      <c r="A146" s="444"/>
      <c r="B146" s="366" t="s">
        <v>850</v>
      </c>
      <c r="C146" s="29" t="s">
        <v>507</v>
      </c>
      <c r="D146" s="457">
        <v>0</v>
      </c>
      <c r="E146" s="457"/>
      <c r="F146" s="457"/>
      <c r="G146" s="457"/>
      <c r="H146" s="457"/>
    </row>
    <row r="147" spans="1:19">
      <c r="A147" s="444"/>
      <c r="B147" s="366" t="s">
        <v>850</v>
      </c>
      <c r="C147" s="29" t="s">
        <v>507</v>
      </c>
      <c r="D147" s="457">
        <v>0</v>
      </c>
      <c r="E147" s="457"/>
      <c r="F147" s="457"/>
      <c r="G147" s="457"/>
      <c r="H147" s="457"/>
    </row>
    <row r="148" spans="1:19">
      <c r="A148" s="444"/>
      <c r="B148" s="366" t="s">
        <v>850</v>
      </c>
      <c r="C148" s="29" t="s">
        <v>507</v>
      </c>
      <c r="D148" s="457">
        <v>0</v>
      </c>
      <c r="E148" s="457"/>
      <c r="F148" s="457"/>
      <c r="G148" s="457"/>
      <c r="H148" s="457"/>
    </row>
    <row r="149" spans="1:19">
      <c r="A149" s="444"/>
      <c r="B149" s="366" t="s">
        <v>850</v>
      </c>
      <c r="C149" s="29" t="s">
        <v>507</v>
      </c>
      <c r="D149" s="457">
        <v>0</v>
      </c>
      <c r="E149" s="457"/>
      <c r="F149" s="457"/>
      <c r="G149" s="457"/>
      <c r="H149" s="457"/>
    </row>
    <row r="150" spans="1:19" ht="18.600000000000001" customHeight="1">
      <c r="A150" s="444"/>
      <c r="B150" s="303" t="s">
        <v>584</v>
      </c>
      <c r="C150" s="29" t="s">
        <v>507</v>
      </c>
      <c r="D150" s="476">
        <f>SUM(D137:D149)</f>
        <v>30.543400192528651</v>
      </c>
      <c r="E150" s="476">
        <f t="shared" ref="E150:H150" si="57">SUM(E137:E149)</f>
        <v>0</v>
      </c>
      <c r="F150" s="476">
        <f t="shared" si="57"/>
        <v>0</v>
      </c>
      <c r="G150" s="476">
        <f t="shared" si="57"/>
        <v>0</v>
      </c>
      <c r="H150" s="476">
        <f t="shared" si="57"/>
        <v>0</v>
      </c>
    </row>
    <row r="151" spans="1:19">
      <c r="A151" s="444"/>
      <c r="B151" s="456" t="s">
        <v>585</v>
      </c>
      <c r="C151" s="446"/>
      <c r="D151" s="446"/>
      <c r="E151" s="446"/>
      <c r="F151" s="446"/>
      <c r="G151" s="446"/>
      <c r="H151" s="446"/>
    </row>
    <row r="152" spans="1:19">
      <c r="A152" s="444"/>
      <c r="B152" s="366" t="s">
        <v>861</v>
      </c>
      <c r="C152" s="29" t="s">
        <v>507</v>
      </c>
      <c r="D152" s="365">
        <v>8.1720316808710791</v>
      </c>
      <c r="E152" s="365"/>
      <c r="F152" s="365"/>
      <c r="G152" s="365"/>
      <c r="H152" s="365"/>
    </row>
    <row r="153" spans="1:19">
      <c r="A153" s="444"/>
      <c r="B153" s="366" t="s">
        <v>862</v>
      </c>
      <c r="C153" s="29" t="s">
        <v>507</v>
      </c>
      <c r="D153" s="365">
        <v>-1.3602752264965339</v>
      </c>
      <c r="E153" s="365"/>
      <c r="F153" s="365"/>
      <c r="G153" s="365"/>
      <c r="H153" s="365"/>
    </row>
    <row r="154" spans="1:19">
      <c r="A154" s="444"/>
      <c r="B154" s="366" t="s">
        <v>835</v>
      </c>
      <c r="C154" s="29" t="s">
        <v>507</v>
      </c>
      <c r="D154" s="365">
        <v>0</v>
      </c>
      <c r="E154" s="365"/>
      <c r="F154" s="365"/>
      <c r="G154" s="365"/>
      <c r="H154" s="365"/>
    </row>
    <row r="155" spans="1:19">
      <c r="A155" s="444"/>
      <c r="B155" s="366" t="s">
        <v>835</v>
      </c>
      <c r="C155" s="29" t="s">
        <v>507</v>
      </c>
      <c r="D155" s="365">
        <v>0</v>
      </c>
      <c r="E155" s="365"/>
      <c r="F155" s="365"/>
      <c r="G155" s="365"/>
      <c r="H155" s="365"/>
      <c r="R155" s="103"/>
      <c r="S155" s="103"/>
    </row>
    <row r="156" spans="1:19">
      <c r="A156" s="444"/>
      <c r="B156" s="366" t="s">
        <v>835</v>
      </c>
      <c r="C156" s="29" t="s">
        <v>507</v>
      </c>
      <c r="D156" s="365">
        <v>0</v>
      </c>
      <c r="E156" s="365"/>
      <c r="F156" s="365"/>
      <c r="G156" s="365"/>
      <c r="H156" s="365"/>
      <c r="R156" s="103"/>
      <c r="S156" s="103"/>
    </row>
    <row r="157" spans="1:19">
      <c r="A157" s="444"/>
      <c r="B157" s="366" t="s">
        <v>835</v>
      </c>
      <c r="C157" s="29" t="s">
        <v>507</v>
      </c>
      <c r="D157" s="365">
        <v>0</v>
      </c>
      <c r="E157" s="365"/>
      <c r="F157" s="365"/>
      <c r="G157" s="365"/>
      <c r="H157" s="365"/>
      <c r="R157" s="103"/>
      <c r="S157" s="103"/>
    </row>
    <row r="158" spans="1:19">
      <c r="A158" s="444"/>
      <c r="B158" s="366" t="s">
        <v>850</v>
      </c>
      <c r="C158" s="29" t="s">
        <v>507</v>
      </c>
      <c r="D158" s="365">
        <v>0</v>
      </c>
      <c r="E158" s="365"/>
      <c r="F158" s="365"/>
      <c r="G158" s="365"/>
      <c r="H158" s="365"/>
      <c r="R158" s="103"/>
      <c r="S158" s="103"/>
    </row>
    <row r="159" spans="1:19" ht="19.5" customHeight="1" thickBot="1">
      <c r="A159" s="444"/>
      <c r="B159" s="303" t="s">
        <v>586</v>
      </c>
      <c r="C159" s="29" t="s">
        <v>507</v>
      </c>
      <c r="D159" s="477">
        <f>SUM(D152:D158)</f>
        <v>6.811756454374545</v>
      </c>
      <c r="E159" s="477">
        <f t="shared" ref="E159:H159" si="58">SUM(E152:E158)</f>
        <v>0</v>
      </c>
      <c r="F159" s="477">
        <f t="shared" si="58"/>
        <v>0</v>
      </c>
      <c r="G159" s="477">
        <f t="shared" si="58"/>
        <v>0</v>
      </c>
      <c r="H159" s="477">
        <f t="shared" si="58"/>
        <v>0</v>
      </c>
      <c r="R159" s="103"/>
      <c r="S159" s="103"/>
    </row>
    <row r="160" spans="1:19" ht="17.45" customHeight="1" thickBot="1">
      <c r="B160" s="446" t="s">
        <v>587</v>
      </c>
      <c r="C160" s="29" t="s">
        <v>507</v>
      </c>
      <c r="D160" s="478">
        <f>D135+D150+D159</f>
        <v>-87.344843353096792</v>
      </c>
      <c r="E160" s="479">
        <f>E135+E150+E159</f>
        <v>0</v>
      </c>
      <c r="F160" s="479">
        <f>F135+F150+F159</f>
        <v>0</v>
      </c>
      <c r="G160" s="479">
        <f>G135+G150+G159</f>
        <v>0</v>
      </c>
      <c r="H160" s="480">
        <f>H135+H150+H159</f>
        <v>0</v>
      </c>
      <c r="R160" s="103"/>
      <c r="S160" s="103"/>
    </row>
    <row r="161" spans="1:19">
      <c r="B161" s="303"/>
      <c r="D161" s="455"/>
      <c r="E161" s="455"/>
      <c r="F161" s="455"/>
      <c r="G161" s="455"/>
      <c r="H161" s="455"/>
      <c r="R161" s="103"/>
      <c r="S161" s="103"/>
    </row>
    <row r="162" spans="1:19">
      <c r="B162" s="446" t="s">
        <v>588</v>
      </c>
      <c r="C162" s="29" t="s">
        <v>507</v>
      </c>
      <c r="D162" s="459">
        <f>D160+D131</f>
        <v>456.0112801769032</v>
      </c>
      <c r="E162" s="459">
        <f>E160+E131</f>
        <v>0</v>
      </c>
      <c r="F162" s="459">
        <f>F160+F131</f>
        <v>0</v>
      </c>
      <c r="G162" s="459">
        <f>G160+G131</f>
        <v>0</v>
      </c>
      <c r="H162" s="459">
        <f>H160+H131</f>
        <v>0</v>
      </c>
      <c r="R162" s="392"/>
      <c r="S162" s="103"/>
    </row>
    <row r="163" spans="1:19">
      <c r="B163" s="722" t="s">
        <v>589</v>
      </c>
      <c r="C163" s="29" t="str">
        <f>Price_basis</f>
        <v>£m 20/21</v>
      </c>
      <c r="D163" s="458">
        <v>0</v>
      </c>
      <c r="E163" s="458"/>
      <c r="F163" s="458"/>
      <c r="G163" s="458"/>
      <c r="H163" s="458"/>
      <c r="R163" s="103"/>
      <c r="S163" s="103"/>
    </row>
    <row r="164" spans="1:19">
      <c r="B164" s="722" t="s">
        <v>590</v>
      </c>
      <c r="C164" s="29" t="s">
        <v>507</v>
      </c>
      <c r="D164" s="458">
        <v>455.93533828895943</v>
      </c>
      <c r="E164" s="458"/>
      <c r="F164" s="458"/>
      <c r="G164" s="458"/>
      <c r="H164" s="458"/>
    </row>
    <row r="165" spans="1:19">
      <c r="B165" s="303" t="s">
        <v>591</v>
      </c>
      <c r="C165" s="29" t="s">
        <v>507</v>
      </c>
      <c r="D165" s="481">
        <f>IF(Licensee="ESO",D164, IF(Sector="ED2",D164,D163*INDEX(real_to_nominal_CF,MATCH(D6,calendar_year,0))))</f>
        <v>455.93533828895943</v>
      </c>
      <c r="E165" s="481">
        <f>IF(Licensee="ESO",E164, IF(Sector="ED2",E164,E163*INDEX(real_to_nominal_CF,MATCH(E6,calendar_year,0))))</f>
        <v>0</v>
      </c>
      <c r="F165" s="481">
        <f>IF(Licensee="ESO",F164, IF(Sector="ED2",F164,F163*INDEX(real_to_nominal_CF,MATCH(F6,calendar_year,0))))</f>
        <v>0</v>
      </c>
      <c r="G165" s="481">
        <f>IF(Licensee="ESO",G164, IF(Sector="ED2",G164,G163*INDEX(real_to_nominal_CF,MATCH(G6,calendar_year,0))))</f>
        <v>0</v>
      </c>
      <c r="H165" s="481">
        <f>IF(Licensee="ESO",H164, IF(Sector="ED2",H164,H163*INDEX(real_to_nominal_CF,MATCH(H6,calendar_year,0))))</f>
        <v>0</v>
      </c>
      <c r="I165" s="103"/>
      <c r="R165" s="103"/>
      <c r="S165" s="103"/>
    </row>
    <row r="166" spans="1:19">
      <c r="B166" s="303"/>
      <c r="C166" s="29" t="s">
        <v>592</v>
      </c>
      <c r="D166" s="482" t="str">
        <f>IF(ISNUMBER(D165),"N/A",IF(D$108="Actuals",IF(ABS(D162-D165)&lt;materiality_threshold,"OK","ERROR"),"N/A"))</f>
        <v>N/A</v>
      </c>
      <c r="E166" s="482" t="str">
        <f>IF(ISNUMBER(E165),"N/A",IF(E$108="Actuals",IF(ABS(E162-E165)&lt;materiality_threshold,"OK","ERROR"),"N/A"))</f>
        <v>N/A</v>
      </c>
      <c r="F166" s="482" t="str">
        <f>IF(ISNUMBER(F165),"N/A",IF(F$108="Actuals",IF(ABS(F162-F165)&lt;materiality_threshold,"OK","ERROR"),"N/A"))</f>
        <v>N/A</v>
      </c>
      <c r="G166" s="482" t="str">
        <f>IF(ISNUMBER(G165),"N/A",IF(G$108="Actuals",IF(ABS(G162-G165)&lt;materiality_threshold,"OK","ERROR"),"N/A"))</f>
        <v>N/A</v>
      </c>
      <c r="H166" s="482" t="str">
        <f>IF(ISNUMBER(H165),"N/A",IF(H$108="Actuals",IF(ABS(H162-H165)&lt;materiality_threshold,"OK","ERROR"),"N/A"))</f>
        <v>N/A</v>
      </c>
      <c r="R166" s="103"/>
      <c r="S166" s="103"/>
    </row>
    <row r="167" spans="1:19">
      <c r="B167" s="303" t="s">
        <v>244</v>
      </c>
      <c r="R167" s="103"/>
      <c r="S167" s="103"/>
    </row>
    <row r="168" spans="1:19">
      <c r="B168" s="446" t="s">
        <v>593</v>
      </c>
    </row>
    <row r="169" spans="1:19">
      <c r="A169" s="444"/>
      <c r="B169" s="366" t="s">
        <v>863</v>
      </c>
      <c r="C169" s="29" t="s">
        <v>507</v>
      </c>
      <c r="D169" s="365">
        <v>96.662382125467502</v>
      </c>
      <c r="E169" s="365"/>
      <c r="F169" s="365"/>
      <c r="G169" s="365"/>
      <c r="H169" s="365"/>
    </row>
    <row r="170" spans="1:19">
      <c r="A170" s="444"/>
      <c r="B170" s="366" t="s">
        <v>864</v>
      </c>
      <c r="C170" s="29" t="s">
        <v>507</v>
      </c>
      <c r="D170" s="365">
        <v>8.5361640000000377E-2</v>
      </c>
      <c r="E170" s="439"/>
      <c r="F170" s="439"/>
      <c r="G170" s="439"/>
      <c r="H170" s="439"/>
    </row>
    <row r="171" spans="1:19">
      <c r="A171" s="444"/>
      <c r="B171" s="366" t="s">
        <v>865</v>
      </c>
      <c r="C171" s="29" t="s">
        <v>507</v>
      </c>
      <c r="D171" s="365">
        <v>4.5619813100001423</v>
      </c>
      <c r="E171" s="439"/>
      <c r="F171" s="439"/>
      <c r="G171" s="439"/>
      <c r="H171" s="439"/>
    </row>
    <row r="172" spans="1:19">
      <c r="A172" s="444"/>
      <c r="B172" s="366" t="s">
        <v>866</v>
      </c>
      <c r="C172" s="29" t="s">
        <v>507</v>
      </c>
      <c r="D172" s="365">
        <v>1.1162897700000001</v>
      </c>
      <c r="E172" s="439"/>
      <c r="F172" s="439"/>
      <c r="G172" s="439"/>
      <c r="H172" s="439"/>
    </row>
    <row r="173" spans="1:19">
      <c r="A173" s="444"/>
      <c r="B173" s="366" t="s">
        <v>867</v>
      </c>
      <c r="C173" s="29" t="s">
        <v>507</v>
      </c>
      <c r="D173" s="365">
        <v>1.4884255588731388</v>
      </c>
      <c r="E173" s="439"/>
      <c r="F173" s="439"/>
      <c r="G173" s="439"/>
      <c r="H173" s="439"/>
    </row>
    <row r="174" spans="1:19">
      <c r="A174" s="444"/>
      <c r="B174" s="366" t="s">
        <v>868</v>
      </c>
      <c r="C174" s="29" t="s">
        <v>507</v>
      </c>
      <c r="D174" s="365">
        <v>0.93795363000000143</v>
      </c>
      <c r="E174" s="439"/>
      <c r="F174" s="439"/>
      <c r="G174" s="439"/>
      <c r="H174" s="439"/>
    </row>
    <row r="175" spans="1:19">
      <c r="A175" s="444"/>
      <c r="B175" s="366" t="s">
        <v>869</v>
      </c>
      <c r="C175" s="29" t="s">
        <v>507</v>
      </c>
      <c r="D175" s="365">
        <v>0.40465869999999993</v>
      </c>
      <c r="E175" s="439"/>
      <c r="F175" s="439"/>
      <c r="G175" s="439"/>
      <c r="H175" s="439"/>
    </row>
    <row r="176" spans="1:19">
      <c r="A176" s="444"/>
      <c r="B176" s="366" t="s">
        <v>835</v>
      </c>
      <c r="C176" s="29" t="s">
        <v>507</v>
      </c>
      <c r="D176" s="365">
        <v>0</v>
      </c>
      <c r="E176" s="439"/>
      <c r="F176" s="439"/>
      <c r="G176" s="439"/>
      <c r="H176" s="439"/>
    </row>
    <row r="177" spans="1:19">
      <c r="A177" s="444"/>
      <c r="B177" s="366" t="s">
        <v>835</v>
      </c>
      <c r="C177" s="29" t="s">
        <v>507</v>
      </c>
      <c r="D177" s="365">
        <v>0</v>
      </c>
      <c r="E177" s="439"/>
      <c r="F177" s="439"/>
      <c r="G177" s="439"/>
      <c r="H177" s="439"/>
    </row>
    <row r="178" spans="1:19">
      <c r="A178" s="444"/>
      <c r="B178" s="366" t="s">
        <v>835</v>
      </c>
      <c r="C178" s="29" t="s">
        <v>507</v>
      </c>
      <c r="D178" s="365">
        <v>0</v>
      </c>
      <c r="E178" s="439"/>
      <c r="F178" s="439"/>
      <c r="G178" s="439"/>
      <c r="H178" s="439"/>
    </row>
    <row r="179" spans="1:19">
      <c r="A179" s="444"/>
      <c r="B179" s="366" t="s">
        <v>835</v>
      </c>
      <c r="C179" s="29" t="s">
        <v>507</v>
      </c>
      <c r="D179" s="365">
        <v>0</v>
      </c>
      <c r="E179" s="439"/>
      <c r="F179" s="439"/>
      <c r="G179" s="439"/>
      <c r="H179" s="439"/>
    </row>
    <row r="180" spans="1:19">
      <c r="A180" s="444"/>
      <c r="B180" s="366" t="s">
        <v>835</v>
      </c>
      <c r="C180" s="29" t="s">
        <v>507</v>
      </c>
      <c r="D180" s="365">
        <v>0</v>
      </c>
      <c r="E180" s="439"/>
      <c r="F180" s="439"/>
      <c r="G180" s="439"/>
      <c r="H180" s="439"/>
    </row>
    <row r="181" spans="1:19">
      <c r="A181" s="444"/>
      <c r="B181" s="366" t="s">
        <v>835</v>
      </c>
      <c r="C181" s="29" t="s">
        <v>507</v>
      </c>
      <c r="D181" s="365">
        <v>0</v>
      </c>
      <c r="E181" s="439"/>
      <c r="F181" s="439"/>
      <c r="G181" s="439"/>
      <c r="H181" s="439"/>
    </row>
    <row r="182" spans="1:19">
      <c r="A182" s="444"/>
      <c r="B182" s="366" t="s">
        <v>835</v>
      </c>
      <c r="C182" s="29" t="s">
        <v>507</v>
      </c>
      <c r="D182" s="365">
        <v>0</v>
      </c>
      <c r="E182" s="439"/>
      <c r="F182" s="439"/>
      <c r="G182" s="439"/>
      <c r="H182" s="439"/>
      <c r="R182" s="103"/>
      <c r="S182" s="103"/>
    </row>
    <row r="183" spans="1:19">
      <c r="A183" s="444"/>
      <c r="B183" s="366" t="s">
        <v>835</v>
      </c>
      <c r="C183" s="29" t="s">
        <v>507</v>
      </c>
      <c r="D183" s="365">
        <v>0</v>
      </c>
      <c r="E183" s="439"/>
      <c r="F183" s="439"/>
      <c r="G183" s="439"/>
      <c r="H183" s="439"/>
      <c r="R183" s="103"/>
      <c r="S183" s="103"/>
    </row>
    <row r="184" spans="1:19">
      <c r="A184" s="444"/>
      <c r="B184" s="366" t="s">
        <v>835</v>
      </c>
      <c r="C184" s="29" t="s">
        <v>507</v>
      </c>
      <c r="D184" s="365">
        <v>0</v>
      </c>
      <c r="E184" s="439"/>
      <c r="F184" s="439"/>
      <c r="G184" s="439"/>
      <c r="H184" s="439"/>
      <c r="R184" s="103"/>
      <c r="S184" s="103"/>
    </row>
    <row r="185" spans="1:19">
      <c r="A185" s="444"/>
      <c r="B185" s="366" t="s">
        <v>835</v>
      </c>
      <c r="C185" s="29" t="s">
        <v>507</v>
      </c>
      <c r="D185" s="365">
        <v>0</v>
      </c>
      <c r="E185" s="439"/>
      <c r="F185" s="439"/>
      <c r="G185" s="439"/>
      <c r="H185" s="439"/>
      <c r="R185" s="103"/>
      <c r="S185" s="103"/>
    </row>
    <row r="186" spans="1:19">
      <c r="A186" s="444"/>
      <c r="B186" s="366" t="s">
        <v>835</v>
      </c>
      <c r="C186" s="29" t="s">
        <v>507</v>
      </c>
      <c r="D186" s="365">
        <v>0</v>
      </c>
      <c r="E186" s="439"/>
      <c r="F186" s="439"/>
      <c r="G186" s="439"/>
      <c r="H186" s="439"/>
      <c r="R186" s="103"/>
      <c r="S186" s="103"/>
    </row>
    <row r="187" spans="1:19">
      <c r="A187" s="444"/>
      <c r="B187" s="366" t="s">
        <v>835</v>
      </c>
      <c r="C187" s="29" t="s">
        <v>507</v>
      </c>
      <c r="D187" s="365">
        <v>0</v>
      </c>
      <c r="E187" s="439"/>
      <c r="F187" s="439"/>
      <c r="G187" s="439"/>
      <c r="H187" s="439"/>
      <c r="R187" s="103"/>
      <c r="S187" s="103"/>
    </row>
    <row r="188" spans="1:19">
      <c r="A188" s="444"/>
      <c r="B188" s="366" t="s">
        <v>835</v>
      </c>
      <c r="C188" s="29" t="s">
        <v>507</v>
      </c>
      <c r="D188" s="365">
        <v>0</v>
      </c>
      <c r="E188" s="439"/>
      <c r="F188" s="439"/>
      <c r="G188" s="439"/>
      <c r="H188" s="439"/>
      <c r="R188" s="103"/>
      <c r="S188" s="103"/>
    </row>
    <row r="189" spans="1:19">
      <c r="A189" s="444"/>
      <c r="B189" s="366" t="s">
        <v>835</v>
      </c>
      <c r="C189" s="29" t="s">
        <v>507</v>
      </c>
      <c r="D189" s="365">
        <v>0</v>
      </c>
      <c r="E189" s="439"/>
      <c r="F189" s="439"/>
      <c r="G189" s="439"/>
      <c r="H189" s="439"/>
      <c r="R189" s="103"/>
      <c r="S189" s="103"/>
    </row>
    <row r="190" spans="1:19">
      <c r="A190" s="444"/>
      <c r="B190" s="366" t="s">
        <v>835</v>
      </c>
      <c r="C190" s="29" t="s">
        <v>507</v>
      </c>
      <c r="D190" s="365">
        <v>0</v>
      </c>
      <c r="E190" s="439"/>
      <c r="F190" s="439"/>
      <c r="G190" s="439"/>
      <c r="H190" s="439"/>
      <c r="R190" s="103"/>
      <c r="S190" s="103"/>
    </row>
    <row r="191" spans="1:19">
      <c r="A191" s="444"/>
      <c r="B191" s="366" t="s">
        <v>835</v>
      </c>
      <c r="C191" s="29" t="s">
        <v>507</v>
      </c>
      <c r="D191" s="365">
        <v>0</v>
      </c>
      <c r="E191" s="439"/>
      <c r="F191" s="439"/>
      <c r="G191" s="439"/>
      <c r="H191" s="439"/>
      <c r="R191" s="103"/>
      <c r="S191" s="103"/>
    </row>
    <row r="192" spans="1:19">
      <c r="A192" s="444"/>
      <c r="B192" s="366" t="s">
        <v>835</v>
      </c>
      <c r="C192" s="29" t="s">
        <v>507</v>
      </c>
      <c r="D192" s="365">
        <v>0</v>
      </c>
      <c r="E192" s="439"/>
      <c r="F192" s="439"/>
      <c r="G192" s="439"/>
      <c r="H192" s="439"/>
      <c r="R192" s="392"/>
      <c r="S192" s="103"/>
    </row>
    <row r="193" spans="1:19">
      <c r="A193" s="444"/>
      <c r="B193" s="366" t="s">
        <v>835</v>
      </c>
      <c r="C193" s="29" t="s">
        <v>507</v>
      </c>
      <c r="D193" s="365">
        <v>0</v>
      </c>
      <c r="E193" s="439"/>
      <c r="F193" s="439"/>
      <c r="G193" s="439"/>
      <c r="H193" s="439"/>
      <c r="R193" s="103"/>
      <c r="S193" s="103"/>
    </row>
    <row r="194" spans="1:19">
      <c r="B194" s="446" t="s">
        <v>594</v>
      </c>
      <c r="C194" s="29" t="s">
        <v>507</v>
      </c>
      <c r="D194" s="459">
        <f>SUM(D169:D193)</f>
        <v>105.25705273434076</v>
      </c>
      <c r="E194" s="459">
        <f t="shared" ref="E194:H194" si="59">SUM(E169:E193)</f>
        <v>0</v>
      </c>
      <c r="F194" s="459">
        <f t="shared" si="59"/>
        <v>0</v>
      </c>
      <c r="G194" s="459">
        <f t="shared" si="59"/>
        <v>0</v>
      </c>
      <c r="H194" s="459">
        <f t="shared" si="59"/>
        <v>0</v>
      </c>
      <c r="R194" s="103"/>
      <c r="S194" s="103"/>
    </row>
    <row r="195" spans="1:19">
      <c r="B195" s="303"/>
      <c r="D195" s="29"/>
      <c r="E195" s="29"/>
      <c r="F195" s="29"/>
      <c r="G195" s="29"/>
      <c r="H195" s="29"/>
      <c r="I195" s="29"/>
      <c r="J195" s="29"/>
      <c r="R195" s="103"/>
      <c r="S195" s="103"/>
    </row>
    <row r="196" spans="1:19">
      <c r="B196" s="446" t="s">
        <v>595</v>
      </c>
      <c r="C196" s="29" t="s">
        <v>507</v>
      </c>
      <c r="D196" s="459">
        <f>D162-D194</f>
        <v>350.75422744256241</v>
      </c>
      <c r="E196" s="459">
        <f t="shared" ref="E196:H196" si="60">E162-E194</f>
        <v>0</v>
      </c>
      <c r="F196" s="459">
        <f t="shared" si="60"/>
        <v>0</v>
      </c>
      <c r="G196" s="459">
        <f t="shared" si="60"/>
        <v>0</v>
      </c>
      <c r="H196" s="459">
        <f t="shared" si="60"/>
        <v>0</v>
      </c>
    </row>
    <row r="197" spans="1:19">
      <c r="B197" s="446" t="s">
        <v>596</v>
      </c>
      <c r="C197" s="29" t="s">
        <v>507</v>
      </c>
      <c r="D197" s="483">
        <f>('R3 - Totex - Reconciliation'!D$13+'R3 - Totex - Reconciliation'!D$47+'R3 - Totex - Reconciliation'!D76)*INDEX(real_to_nominal_CF,MATCH(D$109,calendar_year,0))</f>
        <v>350.82373656461874</v>
      </c>
      <c r="E197" s="483">
        <f>('R3 - Totex - Reconciliation'!E$13+'R3 - Totex - Reconciliation'!E$47+'R3 - Totex - Reconciliation'!E76)*INDEX(real_to_nominal_CF,MATCH(E$109,calendar_year,0))</f>
        <v>495.87911659795162</v>
      </c>
      <c r="F197" s="483">
        <f>('R3 - Totex - Reconciliation'!F$13+'R3 - Totex - Reconciliation'!F$47+'R3 - Totex - Reconciliation'!F76)*INDEX(real_to_nominal_CF,MATCH(F$109,calendar_year,0))</f>
        <v>465.64461980115118</v>
      </c>
      <c r="G197" s="483">
        <f>('R3 - Totex - Reconciliation'!G$13+'R3 - Totex - Reconciliation'!G$47+'R3 - Totex - Reconciliation'!G76)*INDEX(real_to_nominal_CF,MATCH(G$109,calendar_year,0))</f>
        <v>459.21128378163627</v>
      </c>
      <c r="H197" s="484">
        <f>('R3 - Totex - Reconciliation'!H$13+'R3 - Totex - Reconciliation'!H$47+'R3 - Totex - Reconciliation'!H76)*INDEX(real_to_nominal_CF,MATCH(H$109,calendar_year,0))</f>
        <v>459.02146865471059</v>
      </c>
    </row>
    <row r="198" spans="1:19">
      <c r="B198" s="303"/>
      <c r="C198" s="29" t="s">
        <v>592</v>
      </c>
      <c r="D198" s="485" t="str">
        <f>IF(D$108="Actuals",IF(ABS(D196-('R3 - Totex - Reconciliation'!D13+'R3 - Totex - Reconciliation'!D47+D76)*INDEX(real_to_nominal_CF,MATCH(D6,Data!$F$33:$L$33,0)))&lt;materiality_threshold,"OK","Error"),"N/A")</f>
        <v>OK</v>
      </c>
      <c r="E198" s="485" t="str">
        <f>IF(E$108="Actuals",IF(ABS(E196-('R3 - Totex - Reconciliation'!E13+'R3 - Totex - Reconciliation'!E47+E76)*INDEX(real_to_nominal_CF,MATCH(E6,Data!$F$33:$L$33,0)))&lt;materiality_threshold,"OK","Error"),"N/A")</f>
        <v>N/A</v>
      </c>
      <c r="F198" s="485" t="str">
        <f>IF(F$108="Actuals",IF(ABS(F196-('R3 - Totex - Reconciliation'!F13+'R3 - Totex - Reconciliation'!F47+F76)*INDEX(real_to_nominal_CF,MATCH(F6,Data!$F$33:$L$33,0)))&lt;materiality_threshold,"OK","Error"),"N/A")</f>
        <v>N/A</v>
      </c>
      <c r="G198" s="485" t="str">
        <f>IF(G$108="Actuals",IF(ABS(G196-('R3 - Totex - Reconciliation'!G13+'R3 - Totex - Reconciliation'!G47+G76)*INDEX(real_to_nominal_CF,MATCH(G6,Data!$F$33:$L$33,0)))&lt;materiality_threshold,"OK","Error"),"N/A")</f>
        <v>N/A</v>
      </c>
      <c r="H198" s="485" t="str">
        <f>IF(H$108="Actuals",IF(ABS(H196-('R3 - Totex - Reconciliation'!H13+'R3 - Totex - Reconciliation'!H47+H76)*INDEX(real_to_nominal_CF,MATCH(H6,Data!$F$33:$L$33,0)))&lt;materiality_threshold,"OK","Error"),"N/A")</f>
        <v>N/A</v>
      </c>
    </row>
    <row r="199" spans="1:19">
      <c r="B199" s="303"/>
      <c r="C199" s="303"/>
    </row>
    <row r="200" spans="1:19">
      <c r="B200" s="392"/>
    </row>
    <row r="202" spans="1:19">
      <c r="B202" s="393" t="s">
        <v>551</v>
      </c>
      <c r="C202" s="103"/>
      <c r="D202" s="103"/>
      <c r="E202" s="103"/>
      <c r="F202" s="103"/>
    </row>
    <row r="203" spans="1:19">
      <c r="B203" s="824"/>
      <c r="C203" s="825"/>
      <c r="D203" s="825"/>
      <c r="E203" s="825"/>
      <c r="F203" s="827"/>
    </row>
    <row r="204" spans="1:19">
      <c r="B204" s="396"/>
      <c r="C204" s="397"/>
      <c r="D204" s="398"/>
      <c r="E204" s="399"/>
      <c r="F204" s="400"/>
    </row>
    <row r="205" spans="1:19">
      <c r="B205" s="396"/>
      <c r="C205" s="397"/>
      <c r="D205" s="398"/>
      <c r="E205" s="399"/>
      <c r="F205" s="400"/>
    </row>
    <row r="206" spans="1:19">
      <c r="B206" s="396"/>
      <c r="C206" s="397"/>
      <c r="D206" s="398"/>
      <c r="E206" s="399"/>
      <c r="F206" s="400"/>
    </row>
    <row r="207" spans="1:19">
      <c r="B207" s="396"/>
      <c r="C207" s="397"/>
      <c r="D207" s="398"/>
      <c r="E207" s="399"/>
      <c r="F207" s="400"/>
      <c r="R207" s="103"/>
      <c r="S207" s="103"/>
    </row>
    <row r="208" spans="1:19">
      <c r="B208" s="401"/>
      <c r="C208" s="402"/>
      <c r="D208" s="403"/>
      <c r="E208" s="404"/>
      <c r="F208" s="405"/>
    </row>
    <row r="225" spans="2:3">
      <c r="B225" s="303"/>
      <c r="C225" s="303"/>
    </row>
    <row r="226" spans="2:3">
      <c r="B226" s="303"/>
      <c r="C226" s="303"/>
    </row>
    <row r="227" spans="2:3">
      <c r="B227" s="303"/>
      <c r="C227" s="303"/>
    </row>
    <row r="228" spans="2:3">
      <c r="B228" s="303"/>
      <c r="C228" s="303"/>
    </row>
    <row r="229" spans="2:3">
      <c r="B229" s="303"/>
      <c r="C229" s="303"/>
    </row>
    <row r="230" spans="2:3">
      <c r="B230" s="303"/>
      <c r="C230" s="303"/>
    </row>
    <row r="231" spans="2:3">
      <c r="B231" s="303"/>
      <c r="C231" s="303"/>
    </row>
    <row r="232" spans="2:3">
      <c r="B232" s="303"/>
      <c r="C232" s="303"/>
    </row>
    <row r="236" spans="2:3" ht="12.75" customHeight="1"/>
    <row r="243" ht="29.25" customHeight="1"/>
  </sheetData>
  <sheetProtection insertRows="0"/>
  <mergeCells count="2">
    <mergeCell ref="K15:M15"/>
    <mergeCell ref="B203:F203"/>
  </mergeCells>
  <phoneticPr fontId="248" type="noConversion"/>
  <conditionalFormatting sqref="B40">
    <cfRule type="expression" dxfId="63" priority="48">
      <formula>$B$51="n/a"</formula>
    </cfRule>
  </conditionalFormatting>
  <conditionalFormatting sqref="B69">
    <cfRule type="expression" dxfId="62" priority="47">
      <formula>$B$51="n/a"</formula>
    </cfRule>
  </conditionalFormatting>
  <conditionalFormatting sqref="B93">
    <cfRule type="expression" dxfId="61" priority="46">
      <formula>$B$51="n/a"</formula>
    </cfRule>
  </conditionalFormatting>
  <conditionalFormatting sqref="C23:C30">
    <cfRule type="expression" dxfId="60" priority="52">
      <formula>$B$45="n/a"</formula>
    </cfRule>
  </conditionalFormatting>
  <conditionalFormatting sqref="C33:C35">
    <cfRule type="expression" dxfId="59" priority="5">
      <formula>$B$45="n/a"</formula>
    </cfRule>
  </conditionalFormatting>
  <conditionalFormatting sqref="C37:C38">
    <cfRule type="expression" dxfId="58" priority="2">
      <formula>$B$45="n/a"</formula>
    </cfRule>
  </conditionalFormatting>
  <conditionalFormatting sqref="C45 B46:C54 B73:C73 Q73:T73 C74 B75:C84 B97:C97">
    <cfRule type="expression" dxfId="57" priority="69">
      <formula>$B$45="n/a"</formula>
    </cfRule>
  </conditionalFormatting>
  <conditionalFormatting sqref="C57:C59">
    <cfRule type="expression" dxfId="56" priority="51">
      <formula>$B$45="n/a"</formula>
    </cfRule>
  </conditionalFormatting>
  <conditionalFormatting sqref="C62:C64">
    <cfRule type="expression" dxfId="55" priority="3">
      <formula>$B$45="n/a"</formula>
    </cfRule>
  </conditionalFormatting>
  <conditionalFormatting sqref="C66:C67">
    <cfRule type="expression" dxfId="54" priority="1">
      <formula>$B$45="n/a"</formula>
    </cfRule>
  </conditionalFormatting>
  <conditionalFormatting sqref="C86:C88">
    <cfRule type="expression" dxfId="53" priority="49">
      <formula>$B$45="n/a"</formula>
    </cfRule>
  </conditionalFormatting>
  <conditionalFormatting sqref="C90:C91">
    <cfRule type="expression" dxfId="52" priority="8">
      <formula>$B$44="n/a"</formula>
    </cfRule>
  </conditionalFormatting>
  <conditionalFormatting sqref="D5:G6">
    <cfRule type="expression" dxfId="51" priority="73">
      <formula>AND(D$5="Actuals",E$5="Forecast")</formula>
    </cfRule>
  </conditionalFormatting>
  <conditionalFormatting sqref="D108:G109">
    <cfRule type="expression" dxfId="50" priority="65">
      <formula>AND(D$5="Actuals",E$5="N/A")</formula>
    </cfRule>
  </conditionalFormatting>
  <conditionalFormatting sqref="D7:H7">
    <cfRule type="expression" dxfId="49" priority="58">
      <formula>AND(D$5="Actuals",E$5="Forecast")</formula>
    </cfRule>
  </conditionalFormatting>
  <conditionalFormatting sqref="D110:H110">
    <cfRule type="expression" dxfId="48" priority="57">
      <formula>AND(D$5="Actuals",E$5="Forecast")</formula>
    </cfRule>
  </conditionalFormatting>
  <conditionalFormatting sqref="D124:H124 D135:H135 D113:H121">
    <cfRule type="expression" dxfId="47" priority="55">
      <formula>D$108="N/A"</formula>
    </cfRule>
  </conditionalFormatting>
  <conditionalFormatting sqref="D131:H131 D126:H129">
    <cfRule type="expression" dxfId="46" priority="27">
      <formula>D$108="N/A"</formula>
    </cfRule>
  </conditionalFormatting>
  <conditionalFormatting sqref="D137:H150">
    <cfRule type="expression" dxfId="45" priority="13">
      <formula>D$108="N/A"</formula>
    </cfRule>
  </conditionalFormatting>
  <conditionalFormatting sqref="D152:H160">
    <cfRule type="expression" dxfId="44" priority="12">
      <formula>D$108="N/A"</formula>
    </cfRule>
  </conditionalFormatting>
  <conditionalFormatting sqref="D162:H164">
    <cfRule type="expression" dxfId="43" priority="18">
      <formula>D$108="N/A"</formula>
    </cfRule>
  </conditionalFormatting>
  <conditionalFormatting sqref="D167:H194">
    <cfRule type="expression" dxfId="42" priority="23">
      <formula>D$108="N/A"</formula>
    </cfRule>
  </conditionalFormatting>
  <conditionalFormatting sqref="E122:H122">
    <cfRule type="expression" dxfId="41" priority="45">
      <formula>E$108="N/A"</formula>
    </cfRule>
  </conditionalFormatting>
  <conditionalFormatting sqref="H5:H6">
    <cfRule type="expression" dxfId="40" priority="274">
      <formula>AND(H$5="Actuals",#REF!="Forecast")</formula>
    </cfRule>
  </conditionalFormatting>
  <conditionalFormatting sqref="H108:H109">
    <cfRule type="expression" dxfId="39" priority="291">
      <formula>AND(H$5="Actuals",#REF!="N/A")</formula>
    </cfRule>
  </conditionalFormatting>
  <pageMargins left="0.70866141732283472" right="0.70866141732283472" top="0.74803149606299213" bottom="0.74803149606299213" header="0.31496062992125984" footer="0.31496062992125984"/>
  <pageSetup paperSize="8" scale="51" orientation="landscape" r:id="rId1"/>
  <headerFooter>
    <oddFooter>&amp;C_x000D_&amp;1#&amp;"Calibri"&amp;12&amp;K008000 Internal Use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N82"/>
  <sheetViews>
    <sheetView zoomScaleNormal="100" workbookViewId="0"/>
  </sheetViews>
  <sheetFormatPr defaultColWidth="9" defaultRowHeight="12.75"/>
  <cols>
    <col min="1" max="1" width="8.375" style="103" customWidth="1"/>
    <col min="2" max="2" width="71.375" style="103" bestFit="1" customWidth="1"/>
    <col min="3" max="3" width="13.375" style="29" customWidth="1"/>
    <col min="4" max="8" width="11.125" style="103" customWidth="1"/>
    <col min="9" max="9" width="12.875" style="103" customWidth="1"/>
    <col min="10" max="10" width="12.75" style="103" customWidth="1"/>
    <col min="11" max="11" width="5.75" style="103" bestFit="1" customWidth="1"/>
    <col min="12" max="16384" width="9" style="103"/>
  </cols>
  <sheetData>
    <row r="1" spans="1:14" ht="20.25">
      <c r="A1" s="486" t="s">
        <v>597</v>
      </c>
      <c r="B1" s="487"/>
      <c r="C1" s="488"/>
      <c r="D1" s="489"/>
      <c r="E1" s="489"/>
      <c r="F1" s="489"/>
      <c r="G1" s="489"/>
      <c r="H1" s="489"/>
      <c r="I1" s="292"/>
      <c r="J1" s="292"/>
      <c r="K1" s="420"/>
    </row>
    <row r="2" spans="1:14" ht="20.25">
      <c r="A2" s="293" t="str">
        <f>Licensee</f>
        <v>SPMW</v>
      </c>
      <c r="B2" s="490"/>
      <c r="C2" s="491"/>
      <c r="D2" s="492"/>
      <c r="E2" s="492"/>
      <c r="F2" s="492"/>
      <c r="G2" s="492"/>
      <c r="H2" s="492"/>
      <c r="I2" s="297"/>
      <c r="J2" s="297"/>
      <c r="K2" s="298"/>
    </row>
    <row r="3" spans="1:14" ht="20.25">
      <c r="A3" s="295">
        <f>Reporting_Year</f>
        <v>2024</v>
      </c>
      <c r="B3" s="296"/>
      <c r="C3" s="493"/>
      <c r="D3" s="494"/>
      <c r="E3" s="494"/>
      <c r="F3" s="494"/>
      <c r="G3" s="494"/>
      <c r="H3" s="494"/>
      <c r="I3" s="300"/>
      <c r="J3" s="300"/>
      <c r="K3" s="301"/>
    </row>
    <row r="4" spans="1:14" s="303" customFormat="1" ht="12.75" customHeight="1">
      <c r="B4" s="444"/>
      <c r="C4" s="29"/>
    </row>
    <row r="5" spans="1:14" s="303" customFormat="1" ht="21.6" customHeight="1">
      <c r="B5" s="444"/>
      <c r="C5" s="29"/>
      <c r="D5" s="302" t="str">
        <f t="shared" ref="D5:I5" si="0">IF(D6&lt;=Reporting_Year,"Actuals","Forecast")</f>
        <v>Actuals</v>
      </c>
      <c r="E5" s="302" t="str">
        <f t="shared" si="0"/>
        <v>Forecast</v>
      </c>
      <c r="F5" s="302" t="str">
        <f t="shared" si="0"/>
        <v>Forecast</v>
      </c>
      <c r="G5" s="302" t="str">
        <f t="shared" si="0"/>
        <v>Forecast</v>
      </c>
      <c r="H5" s="302" t="str">
        <f t="shared" si="0"/>
        <v>Forecast</v>
      </c>
      <c r="I5" s="302" t="str">
        <f t="shared" si="0"/>
        <v>Forecast</v>
      </c>
    </row>
    <row r="6" spans="1:14" s="303" customFormat="1" ht="29.25" customHeight="1">
      <c r="C6" s="29"/>
      <c r="D6" s="421">
        <f>'RFPR cover'!$C$6</f>
        <v>2024</v>
      </c>
      <c r="E6" s="422">
        <f>D6+1</f>
        <v>2025</v>
      </c>
      <c r="F6" s="422">
        <f t="shared" ref="F6:H6" si="1">E6+1</f>
        <v>2026</v>
      </c>
      <c r="G6" s="422">
        <f t="shared" si="1"/>
        <v>2027</v>
      </c>
      <c r="H6" s="422">
        <f t="shared" si="1"/>
        <v>2028</v>
      </c>
      <c r="I6" s="306" t="str">
        <f>"Cumulative to "&amp;'RFPR cover'!$C$9</f>
        <v>Cumulative to 2024</v>
      </c>
      <c r="J6" s="423" t="s">
        <v>483</v>
      </c>
    </row>
    <row r="7" spans="1:14" s="303" customFormat="1">
      <c r="C7" s="29"/>
      <c r="D7" s="307" t="str">
        <f>RIIO_2_start_date-1&amp;"/"&amp;RIGHT(RIIO_2_start_date,2)</f>
        <v>2023/24</v>
      </c>
      <c r="E7" s="307" t="str">
        <f>RIIO_2_start_date&amp;"/"&amp;RIGHT(RIIO_2_start_date+1,2)</f>
        <v>2024/25</v>
      </c>
      <c r="F7" s="307" t="str">
        <f>RIIO_2_start_date+1&amp;"/"&amp;RIGHT(RIIO_2_start_date+2,2)</f>
        <v>2025/26</v>
      </c>
      <c r="G7" s="307" t="str">
        <f>RIIO_2_start_date+2&amp;"/"&amp;RIGHT(RIIO_2_start_date+3,2)</f>
        <v>2026/27</v>
      </c>
      <c r="H7" s="307" t="str">
        <f>RIIO_2_start_date+3&amp;"/"&amp;RIGHT(RIIO_2_start_date+4,2)</f>
        <v>2027/28</v>
      </c>
    </row>
    <row r="8" spans="1:14" s="303" customFormat="1" ht="18">
      <c r="B8" s="495" t="s">
        <v>598</v>
      </c>
      <c r="C8" s="356"/>
      <c r="D8" s="357"/>
      <c r="E8" s="357"/>
      <c r="F8" s="357"/>
      <c r="G8" s="357"/>
      <c r="H8" s="357"/>
      <c r="I8" s="357"/>
      <c r="J8" s="357"/>
      <c r="K8" s="357"/>
    </row>
    <row r="9" spans="1:14" s="303" customFormat="1">
      <c r="N9" s="324"/>
    </row>
    <row r="10" spans="1:14" s="303" customFormat="1"/>
    <row r="11" spans="1:14" s="303" customFormat="1"/>
    <row r="12" spans="1:14" s="303" customFormat="1">
      <c r="A12" s="309"/>
      <c r="B12" s="446" t="s">
        <v>599</v>
      </c>
      <c r="C12" s="432" t="str">
        <f>Data!$C$9</f>
        <v>£m 20/21</v>
      </c>
      <c r="D12" s="709">
        <f>INDEX(Data!$C$98:$I$126,MATCH($A$2,Data!$B$98:$B$126,0),MATCH(D$6,Data!$C$97:$I$97))</f>
        <v>0</v>
      </c>
      <c r="E12" s="709">
        <f>INDEX(Data!$C$98:$I$126,MATCH($A$2,Data!$B$98:$B$126,0),MATCH(E$6,Data!$C$97:$I$97))</f>
        <v>0</v>
      </c>
      <c r="F12" s="709">
        <f>INDEX(Data!$C$98:$I$126,MATCH($A$2,Data!$B$98:$B$126,0),MATCH(F$6,Data!$C$97:$I$97))</f>
        <v>0</v>
      </c>
      <c r="G12" s="709">
        <f>INDEX(Data!$C$98:$I$126,MATCH($A$2,Data!$B$98:$B$126,0),MATCH(G$6,Data!$C$97:$I$97))</f>
        <v>0</v>
      </c>
      <c r="H12" s="709">
        <f>INDEX(Data!$C$98:$I$126,MATCH($A$2,Data!$B$98:$B$126,0),MATCH(H$6,Data!$C$97:$I$97))</f>
        <v>0</v>
      </c>
      <c r="I12" s="709">
        <f>SUM(D12:INDEX(D12:H12,0,MATCH('RFPR cover'!$C$9,$D$6:$H$6,0)))</f>
        <v>0</v>
      </c>
      <c r="J12" s="710">
        <f>SUM(D12:H12)</f>
        <v>0</v>
      </c>
    </row>
    <row r="13" spans="1:14" s="303" customFormat="1" ht="19.5" customHeight="1">
      <c r="A13" s="309"/>
      <c r="B13" s="496" t="s">
        <v>600</v>
      </c>
    </row>
    <row r="14" spans="1:14" s="303" customFormat="1">
      <c r="A14" s="309"/>
      <c r="B14" s="497" t="str">
        <f>Data!B132</f>
        <v>Time to connect ODI</v>
      </c>
      <c r="C14" s="432" t="str">
        <f>Data!$C$9</f>
        <v>£m 20/21</v>
      </c>
      <c r="D14" s="498">
        <v>0.22185539999999995</v>
      </c>
      <c r="E14" s="498">
        <v>0.13425989999999979</v>
      </c>
      <c r="F14" s="498">
        <v>0.13425989999999979</v>
      </c>
      <c r="G14" s="498">
        <v>0.13425989999999979</v>
      </c>
      <c r="H14" s="498">
        <v>0.13425989999999979</v>
      </c>
      <c r="I14" s="460">
        <f>SUM(D14:INDEX(D14:H14,0,MATCH('RFPR cover'!$C$9,$D$6:$H$6,0)))</f>
        <v>0.22185539999999995</v>
      </c>
      <c r="J14" s="461">
        <f t="shared" ref="J14:J22" si="2">SUM(D14:H14)</f>
        <v>0.7588949999999991</v>
      </c>
    </row>
    <row r="15" spans="1:14" s="303" customFormat="1">
      <c r="A15" s="309"/>
      <c r="B15" s="497" t="str">
        <f>Data!B133</f>
        <v>Broad Measure of Customer Service ODI</v>
      </c>
      <c r="C15" s="432" t="str">
        <f>Data!$C$9</f>
        <v>£m 20/21</v>
      </c>
      <c r="D15" s="498">
        <v>1.0728485942070738</v>
      </c>
      <c r="E15" s="498">
        <v>1.7785600000000015</v>
      </c>
      <c r="F15" s="498">
        <v>2.4455200000000072</v>
      </c>
      <c r="G15" s="498">
        <v>3.1124800000000126</v>
      </c>
      <c r="H15" s="498">
        <v>3.6970000000000001</v>
      </c>
      <c r="I15" s="460">
        <f>SUM(D15:INDEX(D15:H15,0,MATCH('RFPR cover'!$C$9,$D$6:$H$6,0)))</f>
        <v>1.0728485942070738</v>
      </c>
      <c r="J15" s="461">
        <f t="shared" si="2"/>
        <v>12.106408594207096</v>
      </c>
    </row>
    <row r="16" spans="1:14" s="303" customFormat="1">
      <c r="A16" s="309"/>
      <c r="B16" s="497" t="str">
        <f>Data!B134</f>
        <v>Interruptions incentive scheme ODI</v>
      </c>
      <c r="C16" s="432" t="str">
        <f>Data!$C$9</f>
        <v>£m 20/21</v>
      </c>
      <c r="D16" s="498">
        <v>-0.23176817878634509</v>
      </c>
      <c r="E16" s="498">
        <v>1.2531400000000001</v>
      </c>
      <c r="F16" s="498">
        <v>1.2495399999999999</v>
      </c>
      <c r="G16" s="498">
        <v>1.2503200000000003</v>
      </c>
      <c r="H16" s="498">
        <v>1.2486199999999998</v>
      </c>
      <c r="I16" s="460">
        <f>SUM(D16:INDEX(D16:H16,0,MATCH('RFPR cover'!$C$9,$D$6:$H$6,0)))</f>
        <v>-0.23176817878634509</v>
      </c>
      <c r="J16" s="461">
        <f t="shared" si="2"/>
        <v>4.7698518212136554</v>
      </c>
    </row>
    <row r="17" spans="1:10" s="303" customFormat="1">
      <c r="A17" s="309"/>
      <c r="B17" s="497" t="str">
        <f>Data!B135</f>
        <v>Major connections ODI</v>
      </c>
      <c r="C17" s="432" t="str">
        <f>Data!$C$9</f>
        <v>£m 20/21</v>
      </c>
      <c r="D17" s="498">
        <v>0</v>
      </c>
      <c r="E17" s="498">
        <v>0</v>
      </c>
      <c r="F17" s="498">
        <v>0</v>
      </c>
      <c r="G17" s="498">
        <v>0</v>
      </c>
      <c r="H17" s="498">
        <v>0</v>
      </c>
      <c r="I17" s="460">
        <f>SUM(D17:INDEX(D17:H17,0,MATCH('RFPR cover'!$C$9,$D$6:$H$6,0)))</f>
        <v>0</v>
      </c>
      <c r="J17" s="461">
        <f t="shared" si="2"/>
        <v>0</v>
      </c>
    </row>
    <row r="18" spans="1:10" s="303" customFormat="1">
      <c r="A18" s="309"/>
      <c r="B18" s="497" t="str">
        <f>Data!B136</f>
        <v>Consumer Vulnerability ODI</v>
      </c>
      <c r="C18" s="432" t="str">
        <f>Data!$C$9</f>
        <v>£m 20/21</v>
      </c>
      <c r="D18" s="498">
        <v>0</v>
      </c>
      <c r="E18" s="498">
        <v>1.7153300000000005</v>
      </c>
      <c r="F18" s="498">
        <v>0</v>
      </c>
      <c r="G18" s="498">
        <v>0</v>
      </c>
      <c r="H18" s="498">
        <v>5.5335356928576367</v>
      </c>
      <c r="I18" s="460">
        <f>SUM(D18:INDEX(D18:H18,0,MATCH('RFPR cover'!$C$9,$D$6:$H$6,0)))</f>
        <v>0</v>
      </c>
      <c r="J18" s="461">
        <f t="shared" si="2"/>
        <v>7.2488656928576374</v>
      </c>
    </row>
    <row r="19" spans="1:10" s="303" customFormat="1">
      <c r="A19" s="309"/>
      <c r="B19" s="497" t="str">
        <f>Data!B137</f>
        <v>Distribution System Operator ODI</v>
      </c>
      <c r="C19" s="432" t="str">
        <f>Data!$C$9</f>
        <v>£m 20/21</v>
      </c>
      <c r="D19" s="498">
        <v>0.314496</v>
      </c>
      <c r="E19" s="498">
        <v>0</v>
      </c>
      <c r="F19" s="498">
        <v>0</v>
      </c>
      <c r="G19" s="498">
        <v>0</v>
      </c>
      <c r="H19" s="498">
        <v>0</v>
      </c>
      <c r="I19" s="460">
        <f>SUM(D19:INDEX(D19:H19,0,MATCH('RFPR cover'!$C$9,$D$6:$H$6,0)))</f>
        <v>0.314496</v>
      </c>
      <c r="J19" s="461">
        <f>SUM(D19:H19)</f>
        <v>0.314496</v>
      </c>
    </row>
    <row r="20" spans="1:10" s="303" customFormat="1">
      <c r="A20" s="309"/>
      <c r="B20" s="497" t="str">
        <f>Data!B138</f>
        <v>Dig, Fix and Go ODI (ENWL only)</v>
      </c>
      <c r="C20" s="432" t="str">
        <f>Data!$C$9</f>
        <v>£m 20/21</v>
      </c>
      <c r="D20" s="498">
        <v>0</v>
      </c>
      <c r="E20" s="498">
        <v>0</v>
      </c>
      <c r="F20" s="498">
        <v>0</v>
      </c>
      <c r="G20" s="498">
        <v>0</v>
      </c>
      <c r="H20" s="498">
        <v>0</v>
      </c>
      <c r="I20" s="460">
        <f>SUM(D20:INDEX(D20:H20,0,MATCH('RFPR cover'!$C$9,$D$6:$H$6,0)))</f>
        <v>0</v>
      </c>
      <c r="J20" s="461">
        <f>SUM(D20:H20)</f>
        <v>0</v>
      </c>
    </row>
    <row r="21" spans="1:10" s="303" customFormat="1">
      <c r="A21" s="309"/>
      <c r="B21" s="497" t="str">
        <f>Data!B139</f>
        <v>Collaborative Streetworks ODI (EPN, LPN and SPN only)</v>
      </c>
      <c r="C21" s="432" t="str">
        <f>Data!$C$9</f>
        <v>£m 20/21</v>
      </c>
      <c r="D21" s="498">
        <v>0</v>
      </c>
      <c r="E21" s="498">
        <v>0</v>
      </c>
      <c r="F21" s="498">
        <v>0</v>
      </c>
      <c r="G21" s="498">
        <v>0</v>
      </c>
      <c r="H21" s="498">
        <v>0</v>
      </c>
      <c r="I21" s="460">
        <f>SUM(D21:INDEX(D21:H21,0,MATCH('RFPR cover'!$C$9,$D$6:$H$6,0)))</f>
        <v>0</v>
      </c>
      <c r="J21" s="461">
        <f t="shared" si="2"/>
        <v>0</v>
      </c>
    </row>
    <row r="22" spans="1:10" s="303" customFormat="1">
      <c r="B22" s="446" t="s">
        <v>601</v>
      </c>
      <c r="C22" s="440" t="str">
        <f>Data!$C$9</f>
        <v>£m 20/21</v>
      </c>
      <c r="D22" s="472">
        <f>SUM(D14:D21)</f>
        <v>1.3774318154207288</v>
      </c>
      <c r="E22" s="472">
        <f>SUM(E14:E21)</f>
        <v>4.8812899000000023</v>
      </c>
      <c r="F22" s="472">
        <f>SUM(F14:F21)</f>
        <v>3.8293199000000069</v>
      </c>
      <c r="G22" s="472">
        <f>SUM(G14:G21)</f>
        <v>4.4970599000000124</v>
      </c>
      <c r="H22" s="472">
        <f>SUM(H14:H21)</f>
        <v>10.613415592857637</v>
      </c>
      <c r="I22" s="460">
        <f>SUM(D22:INDEX(D22:H22,0,MATCH('RFPR cover'!$C$9,$D$6:$H$6,0)))</f>
        <v>1.3774318154207288</v>
      </c>
      <c r="J22" s="461">
        <f t="shared" si="2"/>
        <v>25.198517108278388</v>
      </c>
    </row>
    <row r="23" spans="1:10" s="303" customFormat="1"/>
    <row r="24" spans="1:10" s="500" customFormat="1" ht="14.25" customHeight="1">
      <c r="A24" s="499"/>
    </row>
    <row r="25" spans="1:10" s="303" customFormat="1">
      <c r="A25" s="501"/>
      <c r="B25" s="502" t="s">
        <v>602</v>
      </c>
      <c r="C25" s="503"/>
      <c r="D25" s="503"/>
      <c r="E25" s="503"/>
      <c r="F25" s="503"/>
      <c r="G25" s="503"/>
      <c r="H25" s="503"/>
      <c r="I25" s="503"/>
      <c r="J25" s="503"/>
    </row>
    <row r="26" spans="1:10" s="303" customFormat="1">
      <c r="A26" s="504"/>
      <c r="B26" s="828"/>
      <c r="C26" s="828"/>
      <c r="D26" s="828"/>
      <c r="E26" s="828"/>
      <c r="F26" s="828"/>
      <c r="G26" s="828"/>
      <c r="H26" s="828"/>
      <c r="I26" s="828"/>
      <c r="J26" s="828"/>
    </row>
    <row r="27" spans="1:10" s="303" customFormat="1">
      <c r="A27" s="504"/>
      <c r="B27" s="828"/>
      <c r="C27" s="828"/>
      <c r="D27" s="828"/>
      <c r="E27" s="828"/>
      <c r="F27" s="828"/>
      <c r="G27" s="828"/>
      <c r="H27" s="828"/>
      <c r="I27" s="828"/>
      <c r="J27" s="828"/>
    </row>
    <row r="28" spans="1:10" s="303" customFormat="1">
      <c r="A28" s="504"/>
      <c r="B28" s="828"/>
      <c r="C28" s="828"/>
      <c r="D28" s="828"/>
      <c r="E28" s="828"/>
      <c r="F28" s="828"/>
      <c r="G28" s="828"/>
      <c r="H28" s="828"/>
      <c r="I28" s="828"/>
      <c r="J28" s="828"/>
    </row>
    <row r="29" spans="1:10" s="303" customFormat="1">
      <c r="A29" s="504"/>
      <c r="B29" s="828"/>
      <c r="C29" s="828"/>
      <c r="D29" s="828"/>
      <c r="E29" s="828"/>
      <c r="F29" s="828"/>
      <c r="G29" s="828"/>
      <c r="H29" s="828"/>
      <c r="I29" s="828"/>
      <c r="J29" s="828"/>
    </row>
    <row r="30" spans="1:10" s="303" customFormat="1">
      <c r="A30" s="504"/>
      <c r="B30" s="828"/>
      <c r="C30" s="828"/>
      <c r="D30" s="828"/>
      <c r="E30" s="828"/>
      <c r="F30" s="828"/>
      <c r="G30" s="828"/>
      <c r="H30" s="828"/>
      <c r="I30" s="828"/>
      <c r="J30" s="828"/>
    </row>
    <row r="31" spans="1:10" s="303" customFormat="1">
      <c r="A31" s="504"/>
      <c r="B31" s="828"/>
      <c r="C31" s="828"/>
      <c r="D31" s="828"/>
      <c r="E31" s="828"/>
      <c r="F31" s="828"/>
      <c r="G31" s="828"/>
      <c r="H31" s="828"/>
      <c r="I31" s="828"/>
      <c r="J31" s="828"/>
    </row>
    <row r="32" spans="1:10" s="303" customFormat="1">
      <c r="A32" s="504"/>
      <c r="B32" s="366"/>
      <c r="C32" s="366"/>
      <c r="D32" s="366"/>
      <c r="E32" s="366"/>
      <c r="F32" s="366"/>
      <c r="G32" s="366"/>
      <c r="H32" s="366"/>
      <c r="I32" s="366"/>
      <c r="J32" s="366"/>
    </row>
    <row r="33" spans="1:11" s="303" customFormat="1">
      <c r="A33" s="504"/>
      <c r="B33" s="366"/>
      <c r="C33" s="366"/>
      <c r="D33" s="366"/>
      <c r="E33" s="366"/>
      <c r="F33" s="366"/>
      <c r="G33" s="366"/>
      <c r="H33" s="366"/>
      <c r="I33" s="366"/>
      <c r="J33" s="366"/>
    </row>
    <row r="34" spans="1:11" s="303" customFormat="1">
      <c r="A34" s="504"/>
      <c r="B34" s="828"/>
      <c r="C34" s="828"/>
      <c r="D34" s="828"/>
      <c r="E34" s="828"/>
      <c r="F34" s="828"/>
      <c r="G34" s="828"/>
      <c r="H34" s="828"/>
      <c r="I34" s="828"/>
      <c r="J34" s="828"/>
    </row>
    <row r="35" spans="1:11" s="303" customFormat="1">
      <c r="A35" s="309"/>
      <c r="C35" s="432"/>
      <c r="D35" s="432"/>
      <c r="E35" s="432"/>
      <c r="F35" s="432"/>
      <c r="G35" s="432"/>
      <c r="H35" s="432"/>
      <c r="I35" s="432"/>
      <c r="J35" s="432"/>
    </row>
    <row r="36" spans="1:11" s="303" customFormat="1" ht="21">
      <c r="B36" s="495" t="s">
        <v>603</v>
      </c>
      <c r="C36" s="356"/>
      <c r="D36" s="357"/>
      <c r="E36" s="357"/>
      <c r="F36" s="357"/>
      <c r="G36" s="357"/>
      <c r="H36" s="357"/>
      <c r="I36" s="357"/>
      <c r="J36" s="357"/>
      <c r="K36" s="357"/>
    </row>
    <row r="37" spans="1:11" s="303" customFormat="1">
      <c r="A37" s="446"/>
      <c r="C37" s="29"/>
    </row>
    <row r="38" spans="1:11">
      <c r="B38" s="505" t="s">
        <v>604</v>
      </c>
    </row>
    <row r="39" spans="1:11">
      <c r="B39" s="446"/>
    </row>
    <row r="40" spans="1:11" s="303" customFormat="1">
      <c r="A40" s="431"/>
      <c r="B40" s="446" t="s">
        <v>122</v>
      </c>
      <c r="C40" s="40" t="s">
        <v>605</v>
      </c>
      <c r="D40" s="455"/>
      <c r="E40" s="455"/>
      <c r="F40" s="455"/>
      <c r="G40" s="455"/>
      <c r="H40" s="455"/>
    </row>
    <row r="41" spans="1:11" s="303" customFormat="1">
      <c r="B41" s="353" t="s">
        <v>606</v>
      </c>
      <c r="C41" s="432" t="str">
        <f>Data!$C$9</f>
        <v>£m 20/21</v>
      </c>
      <c r="D41" s="361">
        <v>6.9352508666202142E-2</v>
      </c>
      <c r="E41" s="361">
        <v>1.4784050308759187</v>
      </c>
      <c r="F41" s="361">
        <v>3.6522424604578791</v>
      </c>
      <c r="G41" s="361">
        <v>0</v>
      </c>
      <c r="H41" s="361">
        <v>0</v>
      </c>
      <c r="I41" s="460">
        <f>SUM(D41:INDEX(D41:H41,0,MATCH('RFPR cover'!$C$9,$D$6:$H$6,0)))</f>
        <v>6.9352508666202142E-2</v>
      </c>
      <c r="J41" s="461">
        <f t="shared" ref="J41" si="3">SUM(D41:H41)</f>
        <v>5.2</v>
      </c>
    </row>
    <row r="42" spans="1:11" s="303" customFormat="1">
      <c r="B42" s="353" t="s">
        <v>607</v>
      </c>
      <c r="C42" s="432" t="str">
        <f>Data!$C$9</f>
        <v>£m 20/21</v>
      </c>
      <c r="D42" s="361">
        <v>0</v>
      </c>
      <c r="E42" s="361">
        <v>0</v>
      </c>
      <c r="F42" s="361">
        <v>0</v>
      </c>
      <c r="G42" s="361">
        <v>0</v>
      </c>
      <c r="H42" s="361">
        <v>0</v>
      </c>
      <c r="I42" s="460">
        <f>SUM(D42:INDEX(D42:H42,0,MATCH('RFPR cover'!$C$9,$D$6:$H$6,0)))</f>
        <v>0</v>
      </c>
      <c r="J42" s="461">
        <f t="shared" ref="J42:J45" si="4">SUM(D42:H42)</f>
        <v>0</v>
      </c>
    </row>
    <row r="43" spans="1:11" s="303" customFormat="1">
      <c r="B43" s="353" t="s">
        <v>608</v>
      </c>
      <c r="C43" s="432" t="str">
        <f>Data!$C$9</f>
        <v>£m 20/21</v>
      </c>
      <c r="D43" s="365">
        <v>6.9352508666202144E-3</v>
      </c>
      <c r="E43" s="365">
        <v>0.14784050308759186</v>
      </c>
      <c r="F43" s="365">
        <v>0.36522424604578796</v>
      </c>
      <c r="G43" s="365">
        <v>0</v>
      </c>
      <c r="H43" s="365">
        <v>0</v>
      </c>
      <c r="I43" s="460">
        <f>SUM(D43:INDEX(D43:H43,0,MATCH('RFPR cover'!$C$9,$D$6:$H$6,0)))</f>
        <v>6.9352508666202144E-3</v>
      </c>
      <c r="J43" s="461">
        <f t="shared" si="4"/>
        <v>0.52</v>
      </c>
    </row>
    <row r="44" spans="1:11" s="446" customFormat="1">
      <c r="B44" s="303" t="s">
        <v>609</v>
      </c>
      <c r="C44" s="432" t="str">
        <f>Data!$C$9</f>
        <v>£m 20/21</v>
      </c>
      <c r="D44" s="472">
        <f>D41-D42-D43</f>
        <v>6.2417257799581925E-2</v>
      </c>
      <c r="E44" s="513">
        <f t="shared" ref="E44:H44" si="5">E41-E42-E43</f>
        <v>1.3305645277883269</v>
      </c>
      <c r="F44" s="513">
        <f t="shared" si="5"/>
        <v>3.2870182144120914</v>
      </c>
      <c r="G44" s="513">
        <f t="shared" si="5"/>
        <v>0</v>
      </c>
      <c r="H44" s="513">
        <f t="shared" si="5"/>
        <v>0</v>
      </c>
      <c r="I44" s="460">
        <f>SUM(D44:INDEX(D44:H44,0,MATCH('RFPR cover'!$C$9,$D$6:$H$6,0)))</f>
        <v>6.2417257799581925E-2</v>
      </c>
      <c r="J44" s="461">
        <f t="shared" si="4"/>
        <v>4.68</v>
      </c>
      <c r="K44" s="303"/>
    </row>
    <row r="45" spans="1:11" s="303" customFormat="1">
      <c r="A45" s="444"/>
      <c r="B45" s="446" t="s">
        <v>610</v>
      </c>
      <c r="C45" s="432" t="str">
        <f>Data!$C$9</f>
        <v>£m 20/21</v>
      </c>
      <c r="D45" s="514">
        <f>D42+D43</f>
        <v>6.9352508666202144E-3</v>
      </c>
      <c r="E45" s="514">
        <f t="shared" ref="E45:H45" si="6">E42+E43</f>
        <v>0.14784050308759186</v>
      </c>
      <c r="F45" s="514">
        <f t="shared" si="6"/>
        <v>0.36522424604578796</v>
      </c>
      <c r="G45" s="514">
        <f t="shared" si="6"/>
        <v>0</v>
      </c>
      <c r="H45" s="514">
        <f t="shared" si="6"/>
        <v>0</v>
      </c>
      <c r="I45" s="460">
        <f>SUM(D45:INDEX(D45:H45,0,MATCH('RFPR cover'!$C$9,$D$6:$H$6,0)))</f>
        <v>6.9352508666202144E-3</v>
      </c>
      <c r="J45" s="461">
        <f t="shared" si="4"/>
        <v>0.52</v>
      </c>
    </row>
    <row r="46" spans="1:11" s="303" customFormat="1">
      <c r="A46" s="444"/>
      <c r="B46" s="446"/>
      <c r="C46" s="432"/>
      <c r="D46" s="506"/>
      <c r="E46" s="506"/>
      <c r="F46" s="506"/>
      <c r="G46" s="506"/>
      <c r="H46" s="506"/>
    </row>
    <row r="47" spans="1:11" s="303" customFormat="1">
      <c r="A47" s="431"/>
      <c r="B47" s="446" t="s">
        <v>611</v>
      </c>
      <c r="C47" s="432" t="s">
        <v>612</v>
      </c>
      <c r="D47" s="506"/>
      <c r="E47" s="506"/>
      <c r="F47" s="506"/>
      <c r="G47" s="506"/>
      <c r="H47" s="506"/>
    </row>
    <row r="48" spans="1:11" s="303" customFormat="1" ht="14.25">
      <c r="A48" s="444"/>
      <c r="B48" s="353" t="s">
        <v>613</v>
      </c>
      <c r="C48" s="432" t="str">
        <f>Data!$C$9</f>
        <v>£m 20/21</v>
      </c>
      <c r="D48" s="361">
        <v>0.82298123245514854</v>
      </c>
      <c r="E48" s="507"/>
      <c r="F48" s="507"/>
      <c r="G48" s="507"/>
      <c r="H48" s="507"/>
    </row>
    <row r="49" spans="1:11" s="303" customFormat="1" ht="14.25">
      <c r="A49" s="444"/>
      <c r="B49" s="353" t="s">
        <v>607</v>
      </c>
      <c r="C49" s="432" t="str">
        <f>Data!$C$9</f>
        <v>£m 20/21</v>
      </c>
      <c r="D49" s="361">
        <v>0</v>
      </c>
      <c r="E49" s="507"/>
      <c r="F49" s="507"/>
      <c r="G49" s="507"/>
      <c r="H49" s="507"/>
    </row>
    <row r="50" spans="1:11" s="303" customFormat="1" ht="14.25">
      <c r="A50" s="444"/>
      <c r="B50" s="353" t="s">
        <v>608</v>
      </c>
      <c r="C50" s="432" t="str">
        <f>Data!$C$9</f>
        <v>£m 20/21</v>
      </c>
      <c r="D50" s="365">
        <v>0</v>
      </c>
      <c r="E50" s="507"/>
      <c r="F50" s="507"/>
      <c r="G50" s="507"/>
      <c r="H50" s="507"/>
    </row>
    <row r="51" spans="1:11" s="303" customFormat="1" ht="14.25">
      <c r="A51" s="444"/>
      <c r="B51" s="303" t="s">
        <v>614</v>
      </c>
      <c r="C51" s="432" t="str">
        <f>Data!$C$9</f>
        <v>£m 20/21</v>
      </c>
      <c r="D51" s="472">
        <f>D48-D49-D50</f>
        <v>0.82298123245514854</v>
      </c>
      <c r="E51" s="507"/>
      <c r="F51" s="507"/>
      <c r="G51" s="507"/>
      <c r="H51" s="507"/>
    </row>
    <row r="52" spans="1:11" ht="14.25">
      <c r="A52" s="508"/>
      <c r="B52" s="446" t="s">
        <v>615</v>
      </c>
      <c r="C52" s="432" t="str">
        <f>Data!$C$9</f>
        <v>£m 20/21</v>
      </c>
      <c r="D52" s="513">
        <f>D49+D50</f>
        <v>0</v>
      </c>
      <c r="E52" s="507"/>
      <c r="F52" s="507"/>
      <c r="G52" s="507"/>
      <c r="H52" s="507"/>
      <c r="K52" s="303"/>
    </row>
    <row r="53" spans="1:11">
      <c r="B53" s="446"/>
      <c r="C53" s="432"/>
      <c r="D53" s="432"/>
      <c r="E53" s="432"/>
      <c r="F53" s="432"/>
      <c r="G53" s="432"/>
      <c r="H53" s="432"/>
      <c r="K53" s="432"/>
    </row>
    <row r="54" spans="1:11">
      <c r="A54" s="431"/>
      <c r="B54" s="446" t="s">
        <v>616</v>
      </c>
      <c r="C54" s="432" t="s">
        <v>617</v>
      </c>
      <c r="D54" s="506"/>
      <c r="E54" s="506"/>
      <c r="F54" s="506"/>
      <c r="G54" s="506"/>
      <c r="H54" s="506"/>
      <c r="K54" s="303"/>
    </row>
    <row r="55" spans="1:11">
      <c r="A55" s="444"/>
      <c r="B55" s="353" t="s">
        <v>618</v>
      </c>
      <c r="C55" s="432" t="str">
        <f>Data!$C$9</f>
        <v>£m 20/21</v>
      </c>
      <c r="D55" s="361">
        <v>0.11095706479313039</v>
      </c>
      <c r="E55" s="361">
        <v>0</v>
      </c>
      <c r="F55" s="361">
        <v>0</v>
      </c>
      <c r="G55" s="361">
        <v>0</v>
      </c>
      <c r="H55" s="361">
        <v>0</v>
      </c>
      <c r="I55" s="460">
        <f>SUM(D55:INDEX(D55:H55,0,MATCH('RFPR cover'!$C$9,$D$6:$H$6,0)))</f>
        <v>0.11095706479313039</v>
      </c>
      <c r="J55" s="461">
        <f t="shared" ref="J55" si="7">SUM(D55:H55)</f>
        <v>0.11095706479313039</v>
      </c>
      <c r="K55" s="303"/>
    </row>
    <row r="56" spans="1:11">
      <c r="A56" s="444"/>
      <c r="B56" s="353" t="s">
        <v>619</v>
      </c>
      <c r="C56" s="432" t="str">
        <f>Data!$C$9</f>
        <v>£m 20/21</v>
      </c>
      <c r="D56" s="361">
        <v>0</v>
      </c>
      <c r="E56" s="361">
        <v>0</v>
      </c>
      <c r="F56" s="361">
        <v>0</v>
      </c>
      <c r="G56" s="361">
        <v>0</v>
      </c>
      <c r="H56" s="361">
        <v>0</v>
      </c>
      <c r="I56" s="460">
        <f>SUM(D56:INDEX(D56:H56,0,MATCH('RFPR cover'!$C$9,$D$6:$H$6,0)))</f>
        <v>0</v>
      </c>
      <c r="J56" s="461">
        <f t="shared" ref="J56:J59" si="8">SUM(D56:H56)</f>
        <v>0</v>
      </c>
    </row>
    <row r="57" spans="1:11">
      <c r="A57" s="444"/>
      <c r="B57" s="353" t="s">
        <v>608</v>
      </c>
      <c r="C57" s="432" t="str">
        <f>Data!$C$9</f>
        <v>£m 20/21</v>
      </c>
      <c r="D57" s="365">
        <v>1.9958E-2</v>
      </c>
      <c r="E57" s="365">
        <v>0</v>
      </c>
      <c r="F57" s="365">
        <v>0</v>
      </c>
      <c r="G57" s="365">
        <v>0</v>
      </c>
      <c r="H57" s="365">
        <v>0</v>
      </c>
      <c r="I57" s="460">
        <f>SUM(D57:INDEX(D57:H57,0,MATCH('RFPR cover'!$C$9,$D$6:$H$6,0)))</f>
        <v>1.9958E-2</v>
      </c>
      <c r="J57" s="461">
        <f t="shared" si="8"/>
        <v>1.9958E-2</v>
      </c>
    </row>
    <row r="58" spans="1:11">
      <c r="A58" s="444"/>
      <c r="B58" s="303" t="s">
        <v>620</v>
      </c>
      <c r="C58" s="432" t="str">
        <f>Data!$C$9</f>
        <v>£m 20/21</v>
      </c>
      <c r="D58" s="472">
        <f>D55-D56-D57</f>
        <v>9.0999064793130385E-2</v>
      </c>
      <c r="E58" s="513">
        <f>E55-E56-E57</f>
        <v>0</v>
      </c>
      <c r="F58" s="513">
        <f>F55-F56-F57</f>
        <v>0</v>
      </c>
      <c r="G58" s="513">
        <f>G55-G56-G57</f>
        <v>0</v>
      </c>
      <c r="H58" s="513">
        <f>H55-H56-H57</f>
        <v>0</v>
      </c>
      <c r="I58" s="460">
        <f>SUM(D58:INDEX(D58:H58,0,MATCH('RFPR cover'!$C$9,$D$6:$H$6,0)))</f>
        <v>9.0999064793130385E-2</v>
      </c>
      <c r="J58" s="461">
        <f t="shared" si="8"/>
        <v>9.0999064793130385E-2</v>
      </c>
    </row>
    <row r="59" spans="1:11">
      <c r="A59" s="508"/>
      <c r="B59" s="446" t="s">
        <v>621</v>
      </c>
      <c r="C59" s="432" t="str">
        <f>Data!$C$9</f>
        <v>£m 20/21</v>
      </c>
      <c r="D59" s="513">
        <f>D56+D57</f>
        <v>1.9958E-2</v>
      </c>
      <c r="E59" s="513">
        <f>E56+E57</f>
        <v>0</v>
      </c>
      <c r="F59" s="513">
        <f>F56+F57</f>
        <v>0</v>
      </c>
      <c r="G59" s="513">
        <f>G56+G57</f>
        <v>0</v>
      </c>
      <c r="H59" s="513">
        <f>H56+H57</f>
        <v>0</v>
      </c>
      <c r="I59" s="460">
        <f>SUM(D59:INDEX(D59:H59,0,MATCH('RFPR cover'!$C$9,$D$6:$H$6,0)))</f>
        <v>1.9958E-2</v>
      </c>
      <c r="J59" s="461">
        <f t="shared" si="8"/>
        <v>1.9958E-2</v>
      </c>
    </row>
    <row r="60" spans="1:11">
      <c r="B60" s="446"/>
      <c r="C60" s="432"/>
      <c r="D60" s="432"/>
      <c r="E60" s="432"/>
      <c r="F60" s="432"/>
      <c r="G60" s="432"/>
      <c r="H60" s="432"/>
      <c r="I60" s="432"/>
    </row>
    <row r="61" spans="1:11">
      <c r="B61" s="446"/>
      <c r="C61" s="432"/>
      <c r="D61" s="432"/>
      <c r="E61" s="432"/>
      <c r="F61" s="432"/>
      <c r="G61" s="432"/>
      <c r="H61" s="432"/>
      <c r="I61" s="432"/>
    </row>
    <row r="62" spans="1:11" s="303" customFormat="1">
      <c r="B62" s="505" t="s">
        <v>622</v>
      </c>
      <c r="C62" s="29"/>
    </row>
    <row r="63" spans="1:11" s="303" customFormat="1" ht="15">
      <c r="B63" s="509" t="s">
        <v>623</v>
      </c>
      <c r="C63" s="510"/>
      <c r="D63" s="509"/>
      <c r="E63" s="509"/>
      <c r="F63" s="509"/>
      <c r="G63" s="509"/>
      <c r="H63" s="509"/>
      <c r="I63" s="509"/>
      <c r="J63" s="509"/>
      <c r="K63" s="509"/>
    </row>
    <row r="64" spans="1:11" s="303" customFormat="1">
      <c r="B64" s="511" t="s">
        <v>624</v>
      </c>
      <c r="C64" s="29"/>
    </row>
    <row r="65" spans="1:13" s="303" customFormat="1" ht="18.95" customHeight="1">
      <c r="A65" s="309"/>
      <c r="B65" s="496" t="s">
        <v>625</v>
      </c>
    </row>
    <row r="66" spans="1:13" s="303" customFormat="1" ht="14.45" customHeight="1">
      <c r="A66" s="309"/>
      <c r="B66" s="512" t="str">
        <f>Data!B199</f>
        <v/>
      </c>
      <c r="C66" s="432" t="str">
        <f>Data!$C$9</f>
        <v>£m 20/21</v>
      </c>
      <c r="D66" s="498">
        <v>0</v>
      </c>
      <c r="E66" s="498">
        <v>0</v>
      </c>
      <c r="F66" s="498">
        <v>0</v>
      </c>
      <c r="G66" s="498">
        <v>0</v>
      </c>
      <c r="H66" s="498">
        <v>0</v>
      </c>
      <c r="I66" s="460">
        <f>SUM(D66:INDEX(D66:H66,0,MATCH('RFPR cover'!$C$9,$D$6:$H$6,0)))</f>
        <v>0</v>
      </c>
      <c r="J66" s="461">
        <f t="shared" ref="J66" si="9">SUM(D66:H66)</f>
        <v>0</v>
      </c>
    </row>
    <row r="67" spans="1:13" s="303" customFormat="1" ht="14.45" customHeight="1">
      <c r="A67" s="309"/>
      <c r="B67" s="512" t="str">
        <f>Data!B200</f>
        <v/>
      </c>
      <c r="C67" s="432" t="str">
        <f>Data!$C$9</f>
        <v>£m 20/21</v>
      </c>
      <c r="D67" s="498">
        <v>0</v>
      </c>
      <c r="E67" s="498">
        <v>0</v>
      </c>
      <c r="F67" s="498">
        <v>0</v>
      </c>
      <c r="G67" s="498">
        <v>0</v>
      </c>
      <c r="H67" s="498">
        <v>0</v>
      </c>
      <c r="I67" s="460">
        <f>SUM(D67:INDEX(D67:H67,0,MATCH('RFPR cover'!$C$9,$D$6:$H$6,0)))</f>
        <v>0</v>
      </c>
      <c r="J67" s="461">
        <f t="shared" ref="J67:J71" si="10">SUM(D67:H67)</f>
        <v>0</v>
      </c>
    </row>
    <row r="68" spans="1:13" s="303" customFormat="1" ht="14.45" customHeight="1">
      <c r="A68" s="309"/>
      <c r="B68" s="512" t="str">
        <f>Data!B201</f>
        <v/>
      </c>
      <c r="C68" s="432" t="str">
        <f>Data!$C$9</f>
        <v>£m 20/21</v>
      </c>
      <c r="D68" s="498">
        <v>0</v>
      </c>
      <c r="E68" s="498">
        <v>0</v>
      </c>
      <c r="F68" s="498">
        <v>0</v>
      </c>
      <c r="G68" s="498">
        <v>0</v>
      </c>
      <c r="H68" s="498">
        <v>0</v>
      </c>
      <c r="I68" s="460">
        <f>SUM(D68:INDEX(D68:H68,0,MATCH('RFPR cover'!$C$9,$D$6:$H$6,0)))</f>
        <v>0</v>
      </c>
      <c r="J68" s="461">
        <f t="shared" si="10"/>
        <v>0</v>
      </c>
    </row>
    <row r="69" spans="1:13" s="303" customFormat="1" ht="14.45" customHeight="1">
      <c r="A69" s="309"/>
      <c r="B69" s="512" t="str">
        <f>Data!B202</f>
        <v/>
      </c>
      <c r="C69" s="432" t="str">
        <f>Data!$C$9</f>
        <v>£m 20/21</v>
      </c>
      <c r="D69" s="498">
        <v>0</v>
      </c>
      <c r="E69" s="498">
        <v>0</v>
      </c>
      <c r="F69" s="498">
        <v>0</v>
      </c>
      <c r="G69" s="498">
        <v>0</v>
      </c>
      <c r="H69" s="498">
        <v>0</v>
      </c>
      <c r="I69" s="460">
        <f>SUM(D69:INDEX(D69:H69,0,MATCH('RFPR cover'!$C$9,$D$6:$H$6,0)))</f>
        <v>0</v>
      </c>
      <c r="J69" s="461">
        <f t="shared" si="10"/>
        <v>0</v>
      </c>
    </row>
    <row r="70" spans="1:13" s="303" customFormat="1" ht="14.45" customHeight="1">
      <c r="A70" s="309"/>
      <c r="B70" s="512" t="str">
        <f>Data!B203</f>
        <v/>
      </c>
      <c r="C70" s="432" t="str">
        <f>Data!$C$9</f>
        <v>£m 20/21</v>
      </c>
      <c r="D70" s="498">
        <v>0</v>
      </c>
      <c r="E70" s="498">
        <v>0</v>
      </c>
      <c r="F70" s="498">
        <v>0</v>
      </c>
      <c r="G70" s="498">
        <v>0</v>
      </c>
      <c r="H70" s="498">
        <v>0</v>
      </c>
      <c r="I70" s="460">
        <f>SUM(D70:INDEX(D70:H70,0,MATCH('RFPR cover'!$C$9,$D$6:$H$6,0)))</f>
        <v>0</v>
      </c>
      <c r="J70" s="461">
        <f t="shared" si="10"/>
        <v>0</v>
      </c>
    </row>
    <row r="71" spans="1:13" s="303" customFormat="1" ht="14.45" customHeight="1">
      <c r="B71" s="446"/>
      <c r="C71" s="440" t="str">
        <f>Data!$C$9</f>
        <v>£m 20/21</v>
      </c>
      <c r="D71" s="472">
        <f>SUM(D66:D70)</f>
        <v>0</v>
      </c>
      <c r="E71" s="472">
        <f>SUM(E66:E70)</f>
        <v>0</v>
      </c>
      <c r="F71" s="472">
        <f>SUM(F66:F70)</f>
        <v>0</v>
      </c>
      <c r="G71" s="472">
        <f>SUM(G66:G70)</f>
        <v>0</v>
      </c>
      <c r="H71" s="472">
        <f>SUM(H66:H70)</f>
        <v>0</v>
      </c>
      <c r="I71" s="460">
        <f>SUM(D71:INDEX(D71:H71,0,MATCH('RFPR cover'!$C$9,$D$6:$H$6,0)))</f>
        <v>0</v>
      </c>
      <c r="J71" s="461">
        <f t="shared" si="10"/>
        <v>0</v>
      </c>
    </row>
    <row r="72" spans="1:13" s="303" customFormat="1" ht="14.45" customHeight="1">
      <c r="B72" s="446"/>
      <c r="C72" s="440"/>
      <c r="D72" s="440"/>
      <c r="E72" s="440"/>
      <c r="F72" s="440"/>
      <c r="G72" s="440"/>
      <c r="H72" s="440"/>
      <c r="I72" s="440"/>
    </row>
    <row r="73" spans="1:13" s="500" customFormat="1" ht="14.25" customHeight="1">
      <c r="A73" s="499"/>
      <c r="M73" s="303"/>
    </row>
    <row r="74" spans="1:13" s="303" customFormat="1">
      <c r="A74" s="501"/>
      <c r="B74" s="502" t="s">
        <v>602</v>
      </c>
      <c r="C74" s="503"/>
      <c r="D74" s="503"/>
      <c r="E74" s="503"/>
      <c r="F74" s="503"/>
      <c r="G74" s="503"/>
      <c r="H74" s="503"/>
      <c r="I74" s="503"/>
      <c r="J74" s="503"/>
    </row>
    <row r="75" spans="1:13" s="303" customFormat="1">
      <c r="A75" s="504"/>
      <c r="B75" s="502"/>
      <c r="C75" s="503"/>
      <c r="D75" s="503"/>
      <c r="E75" s="503"/>
      <c r="F75" s="503"/>
      <c r="G75" s="503"/>
      <c r="H75" s="503"/>
      <c r="I75" s="503"/>
      <c r="J75" s="503"/>
    </row>
    <row r="76" spans="1:13" s="303" customFormat="1">
      <c r="A76" s="504"/>
      <c r="B76" s="502"/>
      <c r="C76" s="503"/>
      <c r="D76" s="503"/>
      <c r="E76" s="503"/>
      <c r="F76" s="503"/>
      <c r="G76" s="503"/>
      <c r="H76" s="503"/>
      <c r="I76" s="503"/>
      <c r="J76" s="503"/>
    </row>
    <row r="77" spans="1:13" s="303" customFormat="1">
      <c r="A77" s="504"/>
      <c r="B77" s="828"/>
      <c r="C77" s="828"/>
      <c r="D77" s="828"/>
      <c r="E77" s="828"/>
      <c r="F77" s="828"/>
      <c r="G77" s="828"/>
      <c r="H77" s="828"/>
      <c r="I77" s="828"/>
      <c r="J77" s="828"/>
    </row>
    <row r="78" spans="1:13" s="303" customFormat="1">
      <c r="A78" s="504"/>
      <c r="B78" s="828"/>
      <c r="C78" s="828"/>
      <c r="D78" s="828"/>
      <c r="E78" s="828"/>
      <c r="F78" s="828"/>
      <c r="G78" s="828"/>
      <c r="H78" s="828"/>
      <c r="I78" s="828"/>
      <c r="J78" s="828"/>
    </row>
    <row r="79" spans="1:13" s="303" customFormat="1">
      <c r="A79" s="504"/>
      <c r="B79" s="828"/>
      <c r="C79" s="828"/>
      <c r="D79" s="828"/>
      <c r="E79" s="828"/>
      <c r="F79" s="828"/>
      <c r="G79" s="828"/>
      <c r="H79" s="828"/>
      <c r="I79" s="828"/>
      <c r="J79" s="828"/>
    </row>
    <row r="80" spans="1:13" s="303" customFormat="1">
      <c r="A80" s="504"/>
      <c r="B80" s="828"/>
      <c r="C80" s="828"/>
      <c r="D80" s="828"/>
      <c r="E80" s="828"/>
      <c r="F80" s="828"/>
      <c r="G80" s="828"/>
      <c r="H80" s="828"/>
      <c r="I80" s="828"/>
      <c r="J80" s="828"/>
    </row>
    <row r="81" spans="1:10" s="303" customFormat="1">
      <c r="A81" s="504"/>
      <c r="B81" s="366"/>
      <c r="C81" s="366"/>
      <c r="D81" s="366"/>
      <c r="E81" s="366"/>
      <c r="F81" s="366"/>
      <c r="G81" s="366"/>
      <c r="H81" s="366"/>
      <c r="I81" s="366"/>
      <c r="J81" s="366"/>
    </row>
    <row r="82" spans="1:10" s="303" customFormat="1">
      <c r="A82" s="504"/>
      <c r="B82" s="828"/>
      <c r="C82" s="828"/>
      <c r="D82" s="828"/>
      <c r="E82" s="828"/>
      <c r="F82" s="828"/>
      <c r="G82" s="828"/>
      <c r="H82" s="828"/>
      <c r="I82" s="828"/>
      <c r="J82" s="828"/>
    </row>
  </sheetData>
  <sheetProtection insertRows="0" sort="0" autoFilter="0" pivotTables="0"/>
  <mergeCells count="12">
    <mergeCell ref="B26:J26"/>
    <mergeCell ref="B82:J82"/>
    <mergeCell ref="B77:J77"/>
    <mergeCell ref="B78:J78"/>
    <mergeCell ref="B79:J79"/>
    <mergeCell ref="B80:J80"/>
    <mergeCell ref="B34:J34"/>
    <mergeCell ref="B27:J27"/>
    <mergeCell ref="B28:J28"/>
    <mergeCell ref="B29:J29"/>
    <mergeCell ref="B30:J30"/>
    <mergeCell ref="B31:J31"/>
  </mergeCells>
  <conditionalFormatting sqref="D7:H7">
    <cfRule type="expression" dxfId="38" priority="1">
      <formula>AND(D$5="Actuals",E$5="Forecast")</formula>
    </cfRule>
  </conditionalFormatting>
  <conditionalFormatting sqref="H5:H6">
    <cfRule type="expression" dxfId="37" priority="237">
      <formula>AND(H$5="Actuals",#REF!="Forecast")</formula>
    </cfRule>
  </conditionalFormatting>
  <conditionalFormatting sqref="I5 D5:G6">
    <cfRule type="expression" dxfId="36" priority="33">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&amp;C_x000D_&amp;1#&amp;"Calibri"&amp;12&amp;K008000 Internal Use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AA100"/>
  <sheetViews>
    <sheetView zoomScaleNormal="100" workbookViewId="0"/>
  </sheetViews>
  <sheetFormatPr defaultColWidth="0" defaultRowHeight="12.75" zeroHeight="1"/>
  <cols>
    <col min="1" max="1" width="8.375" style="103" customWidth="1"/>
    <col min="2" max="2" width="74.875" style="103" customWidth="1"/>
    <col min="3" max="3" width="14.125" style="103" customWidth="1"/>
    <col min="4" max="8" width="11.125" style="103" customWidth="1"/>
    <col min="9" max="10" width="12.875" style="103" customWidth="1"/>
    <col min="11" max="11" width="5" style="103" customWidth="1"/>
    <col min="12" max="23" width="9.25" style="103" customWidth="1"/>
    <col min="24" max="27" width="9" style="103" hidden="1" customWidth="1"/>
    <col min="28" max="16384" width="9" style="103" hidden="1"/>
  </cols>
  <sheetData>
    <row r="1" spans="1:27" ht="20.25">
      <c r="A1" s="288" t="s">
        <v>264</v>
      </c>
      <c r="B1" s="290"/>
      <c r="C1" s="291"/>
      <c r="D1" s="291"/>
      <c r="E1" s="291"/>
      <c r="F1" s="291"/>
      <c r="G1" s="291"/>
      <c r="H1" s="291"/>
      <c r="I1" s="292"/>
      <c r="J1" s="292"/>
      <c r="K1" s="420"/>
    </row>
    <row r="2" spans="1:27" ht="20.25">
      <c r="A2" s="293" t="str">
        <f>Licensee</f>
        <v>SPMW</v>
      </c>
      <c r="B2" s="295"/>
      <c r="C2" s="296"/>
      <c r="D2" s="296"/>
      <c r="E2" s="296"/>
      <c r="F2" s="296"/>
      <c r="G2" s="296"/>
      <c r="H2" s="296"/>
      <c r="I2" s="297"/>
      <c r="J2" s="297"/>
      <c r="K2" s="298"/>
    </row>
    <row r="3" spans="1:27" ht="20.25">
      <c r="A3" s="515">
        <f>Reporting_Year</f>
        <v>2024</v>
      </c>
      <c r="B3" s="516" t="str">
        <f>IF('RFPR cover'!C7=Data!B86,"Not required to be completed for System Operator","")</f>
        <v/>
      </c>
      <c r="C3" s="515"/>
      <c r="D3" s="299"/>
      <c r="E3" s="299"/>
      <c r="F3" s="299"/>
      <c r="G3" s="299"/>
      <c r="H3" s="299"/>
      <c r="I3" s="300"/>
      <c r="J3" s="300"/>
      <c r="K3" s="301"/>
    </row>
    <row r="4" spans="1:27" ht="12.75" customHeight="1">
      <c r="A4" s="517"/>
      <c r="B4" s="517"/>
      <c r="C4" s="517"/>
      <c r="D4" s="517"/>
      <c r="E4" s="517"/>
      <c r="F4" s="517"/>
      <c r="G4" s="517"/>
      <c r="H4" s="517"/>
      <c r="I4" s="518"/>
    </row>
    <row r="5" spans="1:27">
      <c r="A5" s="303"/>
      <c r="B5" s="444"/>
      <c r="C5" s="444"/>
      <c r="D5" s="302" t="str">
        <f t="shared" ref="D5:I5" si="0">IF(D6&lt;=Reporting_Year,"Actuals","Forecast")</f>
        <v>Actuals</v>
      </c>
      <c r="E5" s="302" t="str">
        <f t="shared" si="0"/>
        <v>Forecast</v>
      </c>
      <c r="F5" s="302" t="str">
        <f t="shared" si="0"/>
        <v>Forecast</v>
      </c>
      <c r="G5" s="302" t="str">
        <f t="shared" si="0"/>
        <v>Forecast</v>
      </c>
      <c r="H5" s="302" t="str">
        <f t="shared" si="0"/>
        <v>Forecast</v>
      </c>
      <c r="I5" s="302" t="str">
        <f t="shared" si="0"/>
        <v>Forecast</v>
      </c>
      <c r="J5" s="303"/>
      <c r="K5" s="303"/>
      <c r="L5" s="303"/>
      <c r="M5" s="303"/>
      <c r="N5" s="303"/>
      <c r="O5" s="303"/>
      <c r="P5" s="303"/>
      <c r="Q5" s="303"/>
      <c r="R5" s="303"/>
      <c r="S5" s="303"/>
      <c r="T5" s="303"/>
      <c r="U5" s="303"/>
      <c r="V5" s="303"/>
      <c r="W5" s="303"/>
      <c r="X5" s="303"/>
      <c r="Y5" s="303"/>
      <c r="Z5" s="303"/>
      <c r="AA5" s="303"/>
    </row>
    <row r="6" spans="1:27" ht="25.5">
      <c r="A6" s="303"/>
      <c r="B6" s="303"/>
      <c r="C6" s="303"/>
      <c r="D6" s="421">
        <f>'RFPR cover'!$C$6</f>
        <v>2024</v>
      </c>
      <c r="E6" s="422">
        <f>D6+1</f>
        <v>2025</v>
      </c>
      <c r="F6" s="422">
        <f t="shared" ref="F6:H6" si="1">E6+1</f>
        <v>2026</v>
      </c>
      <c r="G6" s="422">
        <f t="shared" si="1"/>
        <v>2027</v>
      </c>
      <c r="H6" s="519">
        <f t="shared" si="1"/>
        <v>2028</v>
      </c>
      <c r="I6" s="520" t="str">
        <f>"Cumulative to "&amp;'RFPR cover'!$C$9</f>
        <v>Cumulative to 2024</v>
      </c>
      <c r="J6" s="521" t="s">
        <v>483</v>
      </c>
      <c r="K6" s="303"/>
      <c r="L6" s="303"/>
      <c r="M6" s="303"/>
      <c r="N6" s="303"/>
      <c r="O6" s="303"/>
      <c r="P6" s="303"/>
      <c r="Q6" s="303"/>
      <c r="R6" s="303"/>
      <c r="S6" s="303"/>
      <c r="T6" s="303"/>
      <c r="U6" s="303"/>
      <c r="V6" s="303"/>
      <c r="W6" s="303"/>
      <c r="X6" s="303"/>
      <c r="Y6" s="303"/>
      <c r="Z6" s="303"/>
      <c r="AA6" s="303"/>
    </row>
    <row r="7" spans="1:27">
      <c r="A7" s="303"/>
      <c r="B7" s="303"/>
      <c r="C7" s="303"/>
      <c r="D7" s="421" t="str">
        <f>RIIO_2_start_date-1&amp;"/"&amp;RIGHT(RIIO_2_start_date,2)</f>
        <v>2023/24</v>
      </c>
      <c r="E7" s="421" t="str">
        <f>RIIO_2_start_date&amp;"/"&amp;RIGHT(RIIO_2_start_date+1,2)</f>
        <v>2024/25</v>
      </c>
      <c r="F7" s="421" t="str">
        <f>RIIO_2_start_date+1&amp;"/"&amp;RIGHT(RIIO_2_start_date+2,2)</f>
        <v>2025/26</v>
      </c>
      <c r="G7" s="421" t="str">
        <f>RIIO_2_start_date+2&amp;"/"&amp;RIGHT(RIIO_2_start_date+3,2)</f>
        <v>2026/27</v>
      </c>
      <c r="H7" s="522" t="str">
        <f>RIIO_2_start_date+3&amp;"/"&amp;RIGHT(RIIO_2_start_date+4,2)</f>
        <v>2027/28</v>
      </c>
      <c r="I7" s="303"/>
      <c r="J7" s="303"/>
      <c r="K7" s="303"/>
      <c r="L7" s="303"/>
      <c r="M7" s="303"/>
      <c r="N7" s="303"/>
      <c r="O7" s="303"/>
      <c r="P7" s="303"/>
      <c r="Q7" s="303"/>
      <c r="R7" s="303"/>
      <c r="S7" s="303"/>
      <c r="T7" s="303"/>
      <c r="U7" s="303"/>
      <c r="V7" s="303"/>
      <c r="W7" s="303"/>
      <c r="X7" s="303"/>
      <c r="Y7" s="303"/>
      <c r="Z7" s="303"/>
      <c r="AA7" s="303"/>
    </row>
    <row r="8" spans="1:27">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row>
    <row r="9" spans="1:27">
      <c r="B9" s="523" t="s">
        <v>871</v>
      </c>
      <c r="C9" s="29" t="s">
        <v>507</v>
      </c>
      <c r="D9" s="551">
        <v>96.097776910000007</v>
      </c>
      <c r="E9" s="551">
        <v>100.35478799541437</v>
      </c>
      <c r="F9" s="551">
        <v>93.558120331432519</v>
      </c>
      <c r="G9" s="551">
        <v>87.535458501826412</v>
      </c>
      <c r="H9" s="551">
        <v>75.163260514817324</v>
      </c>
      <c r="I9" s="303"/>
      <c r="J9" s="303"/>
    </row>
    <row r="10" spans="1:27">
      <c r="B10" s="393"/>
      <c r="C10" s="29"/>
      <c r="D10" s="39"/>
      <c r="E10" s="39"/>
      <c r="F10" s="39"/>
      <c r="G10" s="39"/>
      <c r="H10" s="39"/>
      <c r="I10" s="303"/>
      <c r="J10" s="303"/>
    </row>
    <row r="11" spans="1:27">
      <c r="B11" s="393" t="s">
        <v>626</v>
      </c>
      <c r="C11" s="524"/>
      <c r="D11" s="525"/>
      <c r="E11" s="525"/>
      <c r="F11" s="525"/>
      <c r="G11" s="525"/>
      <c r="H11" s="525"/>
      <c r="I11" s="303"/>
      <c r="J11" s="303"/>
    </row>
    <row r="12" spans="1:27">
      <c r="B12" s="526" t="s">
        <v>872</v>
      </c>
      <c r="C12" s="29" t="s">
        <v>507</v>
      </c>
      <c r="D12" s="551">
        <v>0</v>
      </c>
      <c r="E12" s="551">
        <v>0</v>
      </c>
      <c r="F12" s="551">
        <v>0</v>
      </c>
      <c r="G12" s="551">
        <v>0</v>
      </c>
      <c r="H12" s="551">
        <v>0</v>
      </c>
      <c r="I12" s="303"/>
      <c r="J12" s="303"/>
    </row>
    <row r="13" spans="1:27">
      <c r="B13" s="526" t="s">
        <v>873</v>
      </c>
      <c r="C13" s="29" t="s">
        <v>507</v>
      </c>
      <c r="D13" s="551">
        <v>0</v>
      </c>
      <c r="E13" s="551">
        <v>0</v>
      </c>
      <c r="F13" s="551">
        <v>0</v>
      </c>
      <c r="G13" s="551">
        <v>0</v>
      </c>
      <c r="H13" s="551">
        <v>0</v>
      </c>
      <c r="I13" s="303"/>
      <c r="J13" s="303"/>
    </row>
    <row r="14" spans="1:27">
      <c r="B14" s="526" t="s">
        <v>874</v>
      </c>
      <c r="C14" s="29" t="s">
        <v>507</v>
      </c>
      <c r="D14" s="551">
        <v>0</v>
      </c>
      <c r="E14" s="551">
        <v>0</v>
      </c>
      <c r="F14" s="551">
        <v>0</v>
      </c>
      <c r="G14" s="551">
        <v>0</v>
      </c>
      <c r="H14" s="551">
        <v>0</v>
      </c>
      <c r="I14" s="303"/>
      <c r="J14" s="303"/>
    </row>
    <row r="15" spans="1:27">
      <c r="B15" s="526" t="s">
        <v>875</v>
      </c>
      <c r="C15" s="29" t="s">
        <v>507</v>
      </c>
      <c r="D15" s="551">
        <v>0</v>
      </c>
      <c r="E15" s="551">
        <v>0</v>
      </c>
      <c r="F15" s="551">
        <v>0</v>
      </c>
      <c r="G15" s="551">
        <v>0</v>
      </c>
      <c r="H15" s="551">
        <v>0</v>
      </c>
      <c r="I15" s="303"/>
      <c r="J15" s="303"/>
    </row>
    <row r="16" spans="1:27">
      <c r="B16" s="526" t="s">
        <v>876</v>
      </c>
      <c r="C16" s="29" t="s">
        <v>507</v>
      </c>
      <c r="D16" s="551">
        <v>0</v>
      </c>
      <c r="E16" s="551">
        <v>0</v>
      </c>
      <c r="F16" s="551">
        <v>0</v>
      </c>
      <c r="G16" s="551">
        <v>0</v>
      </c>
      <c r="H16" s="551">
        <v>0</v>
      </c>
      <c r="I16" s="303"/>
      <c r="J16" s="303"/>
    </row>
    <row r="17" spans="2:9">
      <c r="B17" s="526" t="s">
        <v>877</v>
      </c>
      <c r="C17" s="29" t="s">
        <v>507</v>
      </c>
      <c r="D17" s="551">
        <v>0</v>
      </c>
      <c r="E17" s="551">
        <v>0</v>
      </c>
      <c r="F17" s="551">
        <v>0</v>
      </c>
      <c r="G17" s="551">
        <v>0</v>
      </c>
      <c r="H17" s="551">
        <v>0</v>
      </c>
      <c r="I17" s="303"/>
    </row>
    <row r="18" spans="2:9">
      <c r="B18" s="526" t="s">
        <v>878</v>
      </c>
      <c r="C18" s="29" t="s">
        <v>507</v>
      </c>
      <c r="D18" s="551">
        <v>0</v>
      </c>
      <c r="E18" s="551">
        <v>0</v>
      </c>
      <c r="F18" s="551">
        <v>0</v>
      </c>
      <c r="G18" s="551">
        <v>0</v>
      </c>
      <c r="H18" s="551">
        <v>0</v>
      </c>
      <c r="I18" s="303"/>
    </row>
    <row r="19" spans="2:9" ht="12.75" customHeight="1">
      <c r="B19" s="526" t="s">
        <v>879</v>
      </c>
      <c r="C19" s="29" t="s">
        <v>507</v>
      </c>
      <c r="D19" s="551">
        <v>-1.2806301299999998</v>
      </c>
      <c r="E19" s="551">
        <v>0</v>
      </c>
      <c r="F19" s="551">
        <v>0</v>
      </c>
      <c r="G19" s="551">
        <v>0</v>
      </c>
      <c r="H19" s="551">
        <v>0</v>
      </c>
      <c r="I19" s="303"/>
    </row>
    <row r="20" spans="2:9">
      <c r="B20" s="526" t="s">
        <v>880</v>
      </c>
      <c r="C20" s="29" t="s">
        <v>507</v>
      </c>
      <c r="D20" s="551">
        <v>-2</v>
      </c>
      <c r="E20" s="551">
        <v>0</v>
      </c>
      <c r="F20" s="551">
        <v>0</v>
      </c>
      <c r="G20" s="551">
        <v>0</v>
      </c>
      <c r="H20" s="551">
        <v>0</v>
      </c>
      <c r="I20" s="303"/>
    </row>
    <row r="21" spans="2:9">
      <c r="B21" s="526" t="s">
        <v>881</v>
      </c>
      <c r="C21" s="29" t="s">
        <v>507</v>
      </c>
      <c r="D21" s="551">
        <v>0</v>
      </c>
      <c r="E21" s="551">
        <v>0</v>
      </c>
      <c r="F21" s="551">
        <v>0</v>
      </c>
      <c r="G21" s="551">
        <v>0</v>
      </c>
      <c r="H21" s="551">
        <v>0</v>
      </c>
      <c r="I21" s="303"/>
    </row>
    <row r="22" spans="2:9">
      <c r="B22" s="526" t="s">
        <v>881</v>
      </c>
      <c r="C22" s="29" t="s">
        <v>507</v>
      </c>
      <c r="D22" s="551">
        <v>0</v>
      </c>
      <c r="E22" s="551">
        <v>0</v>
      </c>
      <c r="F22" s="551">
        <v>0</v>
      </c>
      <c r="G22" s="551">
        <v>0</v>
      </c>
      <c r="H22" s="551">
        <v>0</v>
      </c>
      <c r="I22" s="303"/>
    </row>
    <row r="23" spans="2:9">
      <c r="B23" s="526" t="s">
        <v>881</v>
      </c>
      <c r="C23" s="29" t="s">
        <v>507</v>
      </c>
      <c r="D23" s="551">
        <v>0</v>
      </c>
      <c r="E23" s="551">
        <v>0</v>
      </c>
      <c r="F23" s="551">
        <v>0</v>
      </c>
      <c r="G23" s="551">
        <v>0</v>
      </c>
      <c r="H23" s="551">
        <v>0</v>
      </c>
      <c r="I23" s="303"/>
    </row>
    <row r="24" spans="2:9">
      <c r="B24" s="526" t="s">
        <v>881</v>
      </c>
      <c r="C24" s="29" t="s">
        <v>507</v>
      </c>
      <c r="D24" s="551">
        <v>0</v>
      </c>
      <c r="E24" s="551">
        <v>0</v>
      </c>
      <c r="F24" s="551">
        <v>0</v>
      </c>
      <c r="G24" s="551">
        <v>0</v>
      </c>
      <c r="H24" s="551">
        <v>0</v>
      </c>
      <c r="I24" s="303"/>
    </row>
    <row r="25" spans="2:9">
      <c r="B25" s="526" t="s">
        <v>881</v>
      </c>
      <c r="C25" s="29" t="s">
        <v>507</v>
      </c>
      <c r="D25" s="551">
        <v>0</v>
      </c>
      <c r="E25" s="551">
        <v>0</v>
      </c>
      <c r="F25" s="551">
        <v>0</v>
      </c>
      <c r="G25" s="551">
        <v>0</v>
      </c>
      <c r="H25" s="551">
        <v>0</v>
      </c>
      <c r="I25" s="303"/>
    </row>
    <row r="26" spans="2:9">
      <c r="B26" s="526" t="s">
        <v>881</v>
      </c>
      <c r="C26" s="29" t="s">
        <v>507</v>
      </c>
      <c r="D26" s="551">
        <v>0</v>
      </c>
      <c r="E26" s="551">
        <v>0</v>
      </c>
      <c r="F26" s="551">
        <v>0</v>
      </c>
      <c r="G26" s="551">
        <v>0</v>
      </c>
      <c r="H26" s="551">
        <v>0</v>
      </c>
      <c r="I26" s="303"/>
    </row>
    <row r="27" spans="2:9">
      <c r="B27" s="526" t="s">
        <v>881</v>
      </c>
      <c r="C27" s="29" t="s">
        <v>507</v>
      </c>
      <c r="D27" s="551">
        <v>0</v>
      </c>
      <c r="E27" s="551">
        <v>0</v>
      </c>
      <c r="F27" s="551">
        <v>0</v>
      </c>
      <c r="G27" s="551">
        <v>0</v>
      </c>
      <c r="H27" s="551">
        <v>0</v>
      </c>
      <c r="I27" s="303"/>
    </row>
    <row r="28" spans="2:9">
      <c r="B28" s="526" t="s">
        <v>881</v>
      </c>
      <c r="C28" s="29" t="s">
        <v>507</v>
      </c>
      <c r="D28" s="551">
        <v>0</v>
      </c>
      <c r="E28" s="551">
        <v>0</v>
      </c>
      <c r="F28" s="551">
        <v>0</v>
      </c>
      <c r="G28" s="551">
        <v>0</v>
      </c>
      <c r="H28" s="551">
        <v>0</v>
      </c>
      <c r="I28" s="303"/>
    </row>
    <row r="29" spans="2:9">
      <c r="B29" s="527" t="s">
        <v>543</v>
      </c>
      <c r="C29" s="29" t="s">
        <v>507</v>
      </c>
      <c r="D29" s="26">
        <f>SUM(D9,D12:D28)</f>
        <v>92.817146780000002</v>
      </c>
      <c r="E29" s="27">
        <f t="shared" ref="E29:H29" si="2">SUM(E9,E12:E28)</f>
        <v>100.35478799541437</v>
      </c>
      <c r="F29" s="27">
        <f t="shared" si="2"/>
        <v>93.558120331432519</v>
      </c>
      <c r="G29" s="27">
        <f t="shared" si="2"/>
        <v>87.535458501826412</v>
      </c>
      <c r="H29" s="27">
        <f t="shared" si="2"/>
        <v>75.163260514817324</v>
      </c>
      <c r="I29" s="303"/>
    </row>
    <row r="30" spans="2:9" ht="14.25">
      <c r="B30" s="528" t="s">
        <v>627</v>
      </c>
      <c r="C30" s="29" t="s">
        <v>507</v>
      </c>
      <c r="D30" s="507"/>
      <c r="E30" s="529">
        <v>0.2313823116088469</v>
      </c>
      <c r="F30" s="529">
        <v>4.4943056953615397</v>
      </c>
      <c r="G30" s="529">
        <v>10.646124652226604</v>
      </c>
      <c r="H30" s="529">
        <v>21.695909028548016</v>
      </c>
      <c r="I30" s="303"/>
    </row>
    <row r="31" spans="2:9">
      <c r="B31" s="730" t="s">
        <v>628</v>
      </c>
      <c r="C31" s="29" t="s">
        <v>507</v>
      </c>
      <c r="D31" s="26">
        <f>SUM(D29:D30)</f>
        <v>92.817146780000002</v>
      </c>
      <c r="E31" s="27">
        <f t="shared" ref="E31:H31" si="3">SUM(E29:E30)</f>
        <v>100.58617030702321</v>
      </c>
      <c r="F31" s="27">
        <f t="shared" si="3"/>
        <v>98.052426026794052</v>
      </c>
      <c r="G31" s="27">
        <f t="shared" si="3"/>
        <v>98.181583154053016</v>
      </c>
      <c r="H31" s="27">
        <f t="shared" si="3"/>
        <v>96.85916954336534</v>
      </c>
      <c r="I31" s="303"/>
    </row>
    <row r="32" spans="2:9">
      <c r="B32" s="79" t="s">
        <v>629</v>
      </c>
      <c r="C32" s="29" t="s">
        <v>507</v>
      </c>
      <c r="D32" s="529">
        <v>17.0625</v>
      </c>
      <c r="E32" s="529">
        <v>17.0625</v>
      </c>
      <c r="F32" s="529">
        <v>17.0625</v>
      </c>
      <c r="G32" s="529">
        <v>17.0625</v>
      </c>
      <c r="H32" s="529">
        <v>17.0625</v>
      </c>
      <c r="I32" s="303"/>
    </row>
    <row r="33" spans="2:11">
      <c r="B33" s="79" t="s">
        <v>630</v>
      </c>
      <c r="C33" s="29" t="s">
        <v>507</v>
      </c>
      <c r="D33" s="529">
        <v>75.754646780000002</v>
      </c>
      <c r="E33" s="529">
        <v>83.52367030702321</v>
      </c>
      <c r="F33" s="529">
        <v>80.989926026794052</v>
      </c>
      <c r="G33" s="529">
        <v>81.119083154053016</v>
      </c>
      <c r="H33" s="529">
        <v>79.79666954336534</v>
      </c>
      <c r="I33" s="303"/>
    </row>
    <row r="34" spans="2:11">
      <c r="B34" s="79"/>
      <c r="D34" s="552" t="str">
        <f>IF(ABS(D31-SUM(D32:D33))&lt;Data!$F$7,"OK","ERROR")</f>
        <v>OK</v>
      </c>
      <c r="E34" s="553" t="str">
        <f>IF(ABS(E31-SUM(E32:E33))&lt;Data!$F$7,"OK","ERROR")</f>
        <v>OK</v>
      </c>
      <c r="F34" s="553" t="str">
        <f>IF(ABS(F31-SUM(F32:F33))&lt;Data!$F$7,"OK","ERROR")</f>
        <v>OK</v>
      </c>
      <c r="G34" s="553" t="str">
        <f>IF(ABS(G31-SUM(G32:G33))&lt;Data!$F$7,"OK","ERROR")</f>
        <v>OK</v>
      </c>
      <c r="H34" s="553" t="str">
        <f>IF(ABS(H31-SUM(H32:H33))&lt;Data!$F$7,"OK","ERROR")</f>
        <v>OK</v>
      </c>
      <c r="I34" s="303"/>
    </row>
    <row r="35" spans="2:11">
      <c r="D35" s="530"/>
      <c r="E35" s="530"/>
      <c r="F35" s="530"/>
      <c r="G35" s="530"/>
      <c r="H35" s="530"/>
      <c r="I35" s="303"/>
    </row>
    <row r="36" spans="2:11">
      <c r="B36" s="79" t="s">
        <v>631</v>
      </c>
      <c r="C36" s="29" t="s">
        <v>507</v>
      </c>
      <c r="D36" s="529">
        <v>0</v>
      </c>
      <c r="E36" s="529">
        <v>0</v>
      </c>
      <c r="F36" s="529">
        <v>0</v>
      </c>
      <c r="G36" s="529">
        <v>0</v>
      </c>
      <c r="H36" s="529">
        <v>0</v>
      </c>
      <c r="I36" s="303"/>
    </row>
    <row r="37" spans="2:11">
      <c r="D37" s="530"/>
      <c r="E37" s="530"/>
      <c r="F37" s="530"/>
      <c r="G37" s="530"/>
      <c r="H37" s="530"/>
      <c r="I37" s="303"/>
    </row>
    <row r="38" spans="2:11">
      <c r="B38" s="79" t="s">
        <v>632</v>
      </c>
      <c r="C38" s="29" t="s">
        <v>507</v>
      </c>
      <c r="D38" s="551">
        <v>120.73563232209868</v>
      </c>
      <c r="E38" s="551">
        <v>51.686502454594049</v>
      </c>
      <c r="F38" s="551">
        <v>29.980061363595091</v>
      </c>
      <c r="G38" s="551">
        <v>34.937912252880068</v>
      </c>
      <c r="H38" s="551">
        <v>41.656419545970898</v>
      </c>
      <c r="I38" s="303"/>
      <c r="K38" s="310"/>
    </row>
    <row r="39" spans="2:11">
      <c r="B39" s="79"/>
      <c r="C39" s="29"/>
      <c r="D39" s="531"/>
      <c r="E39" s="531"/>
      <c r="F39" s="531"/>
      <c r="G39" s="531"/>
      <c r="H39" s="531"/>
      <c r="I39" s="303"/>
      <c r="K39" s="310"/>
    </row>
    <row r="40" spans="2:11">
      <c r="B40" s="79" t="s">
        <v>633</v>
      </c>
      <c r="C40" s="29" t="s">
        <v>507</v>
      </c>
      <c r="D40" s="21">
        <f>D31-D38</f>
        <v>-27.918485542098679</v>
      </c>
      <c r="E40" s="21">
        <f t="shared" ref="E40:H40" si="4">E31-E38</f>
        <v>48.899667852429161</v>
      </c>
      <c r="F40" s="21">
        <f t="shared" si="4"/>
        <v>68.072364663198954</v>
      </c>
      <c r="G40" s="21">
        <f t="shared" si="4"/>
        <v>63.243670901172948</v>
      </c>
      <c r="H40" s="21">
        <f t="shared" si="4"/>
        <v>55.202749997394442</v>
      </c>
    </row>
    <row r="41" spans="2:11">
      <c r="B41" s="79"/>
      <c r="C41" s="29"/>
      <c r="D41" s="29"/>
      <c r="E41" s="29"/>
      <c r="F41" s="29"/>
      <c r="G41" s="29"/>
      <c r="H41" s="29"/>
      <c r="I41" s="29"/>
      <c r="K41" s="310"/>
    </row>
    <row r="42" spans="2:11">
      <c r="B42" s="532" t="s">
        <v>634</v>
      </c>
      <c r="C42" s="29" t="s">
        <v>635</v>
      </c>
      <c r="D42" s="554">
        <f t="shared" ref="D42:H42" si="5">INDEX(real_to_nominal_CF,MATCH(D$6,calendar_year,0))</f>
        <v>1.2806226704273584</v>
      </c>
      <c r="E42" s="554">
        <f t="shared" si="5"/>
        <v>1.3166427517353263</v>
      </c>
      <c r="F42" s="554">
        <f t="shared" si="5"/>
        <v>1.3372044808664936</v>
      </c>
      <c r="G42" s="554">
        <f t="shared" si="5"/>
        <v>1.3601375551943939</v>
      </c>
      <c r="H42" s="554">
        <f t="shared" si="5"/>
        <v>1.3864986444601943</v>
      </c>
      <c r="I42" s="29"/>
      <c r="K42" s="310"/>
    </row>
    <row r="43" spans="2:11">
      <c r="I43" s="432"/>
      <c r="J43" s="432"/>
      <c r="K43" s="432"/>
    </row>
    <row r="44" spans="2:11">
      <c r="B44" s="78" t="s">
        <v>633</v>
      </c>
      <c r="C44" s="440" t="str">
        <f>Data!$C$9</f>
        <v>£m 20/21</v>
      </c>
      <c r="D44" s="26">
        <f>D40/D42</f>
        <v>-21.800711627869248</v>
      </c>
      <c r="E44" s="27">
        <f t="shared" ref="E44:H44" si="6">E40/E42</f>
        <v>37.139662818923149</v>
      </c>
      <c r="F44" s="27">
        <f t="shared" si="6"/>
        <v>50.906473644994684</v>
      </c>
      <c r="G44" s="27">
        <f t="shared" si="6"/>
        <v>46.497996220782255</v>
      </c>
      <c r="H44" s="27">
        <f t="shared" si="6"/>
        <v>39.8144997962739</v>
      </c>
      <c r="I44" s="555">
        <f>SUM(D44:INDEX(D44:H44,0,MATCH('RFPR cover'!$C$9,$D$6:$H$6,0)))</f>
        <v>-21.800711627869248</v>
      </c>
      <c r="J44" s="556">
        <f>SUM(D44:H44)</f>
        <v>152.55792085310475</v>
      </c>
    </row>
    <row r="45" spans="2:11">
      <c r="B45" s="79"/>
      <c r="C45" s="432"/>
      <c r="D45" s="533"/>
      <c r="E45" s="533"/>
      <c r="F45" s="533"/>
      <c r="G45" s="533"/>
      <c r="H45" s="533"/>
      <c r="I45" s="534"/>
      <c r="J45" s="534"/>
    </row>
    <row r="46" spans="2:11">
      <c r="B46" s="78" t="s">
        <v>636</v>
      </c>
      <c r="C46" s="29"/>
      <c r="D46" s="533"/>
      <c r="E46" s="533"/>
      <c r="F46" s="533"/>
      <c r="G46" s="533"/>
      <c r="H46" s="533"/>
      <c r="I46" s="534"/>
      <c r="J46" s="534"/>
    </row>
    <row r="47" spans="2:11">
      <c r="B47" s="526" t="s">
        <v>882</v>
      </c>
      <c r="C47" s="29" t="s">
        <v>507</v>
      </c>
      <c r="D47" s="90">
        <v>0</v>
      </c>
      <c r="E47" s="90">
        <v>0</v>
      </c>
      <c r="F47" s="90">
        <v>0</v>
      </c>
      <c r="G47" s="90">
        <v>0</v>
      </c>
      <c r="H47" s="90">
        <v>0</v>
      </c>
      <c r="I47" s="555">
        <f>SUM(D47:INDEX(D47:H47,0,MATCH('RFPR cover'!$C$9,$D$6:$H$6,0)))</f>
        <v>0</v>
      </c>
      <c r="J47" s="555">
        <f t="shared" ref="J47:J54" si="7">SUM(D47:H47)</f>
        <v>0</v>
      </c>
    </row>
    <row r="48" spans="2:11" ht="14.25">
      <c r="B48" s="526" t="s">
        <v>637</v>
      </c>
      <c r="C48" s="29" t="s">
        <v>507</v>
      </c>
      <c r="D48" s="507"/>
      <c r="E48" s="529">
        <v>0</v>
      </c>
      <c r="F48" s="529">
        <v>0</v>
      </c>
      <c r="G48" s="529">
        <v>0</v>
      </c>
      <c r="H48" s="529">
        <v>0</v>
      </c>
      <c r="I48" s="555">
        <f>SUM(D48:INDEX(D48:H48,0,MATCH('RFPR cover'!$C$9,$D$6:$H$6,0)))</f>
        <v>0</v>
      </c>
      <c r="J48" s="555">
        <f t="shared" si="7"/>
        <v>0</v>
      </c>
    </row>
    <row r="49" spans="1:11">
      <c r="B49" s="526" t="s">
        <v>883</v>
      </c>
      <c r="C49" s="29" t="s">
        <v>507</v>
      </c>
      <c r="D49" s="90">
        <v>0</v>
      </c>
      <c r="E49" s="90">
        <v>0</v>
      </c>
      <c r="F49" s="90">
        <v>0</v>
      </c>
      <c r="G49" s="90">
        <v>0</v>
      </c>
      <c r="H49" s="90">
        <v>0</v>
      </c>
      <c r="I49" s="555">
        <f>SUM(D49:INDEX(D49:H49,0,MATCH('RFPR cover'!$C$9,$D$6:$H$6,0)))</f>
        <v>0</v>
      </c>
      <c r="J49" s="555">
        <f t="shared" si="7"/>
        <v>0</v>
      </c>
    </row>
    <row r="50" spans="1:11">
      <c r="B50" s="526" t="s">
        <v>884</v>
      </c>
      <c r="C50" s="29" t="s">
        <v>507</v>
      </c>
      <c r="D50" s="90">
        <v>0</v>
      </c>
      <c r="E50" s="90">
        <v>0</v>
      </c>
      <c r="F50" s="90">
        <v>0</v>
      </c>
      <c r="G50" s="90">
        <v>0</v>
      </c>
      <c r="H50" s="90">
        <v>0</v>
      </c>
      <c r="I50" s="555">
        <f>SUM(D50:INDEX(D50:H50,0,MATCH('RFPR cover'!$C$9,$D$6:$H$6,0)))</f>
        <v>0</v>
      </c>
      <c r="J50" s="555">
        <f t="shared" si="7"/>
        <v>0</v>
      </c>
    </row>
    <row r="51" spans="1:11">
      <c r="B51" s="526" t="s">
        <v>881</v>
      </c>
      <c r="C51" s="29" t="s">
        <v>507</v>
      </c>
      <c r="D51" s="90">
        <v>0</v>
      </c>
      <c r="E51" s="90">
        <v>0</v>
      </c>
      <c r="F51" s="90">
        <v>0</v>
      </c>
      <c r="G51" s="90">
        <v>0</v>
      </c>
      <c r="H51" s="90">
        <v>0</v>
      </c>
      <c r="I51" s="555">
        <f>SUM(D51:INDEX(D51:H51,0,MATCH('RFPR cover'!$C$9,$D$6:$H$6,0)))</f>
        <v>0</v>
      </c>
      <c r="J51" s="555">
        <f t="shared" si="7"/>
        <v>0</v>
      </c>
    </row>
    <row r="52" spans="1:11">
      <c r="B52" s="526" t="s">
        <v>881</v>
      </c>
      <c r="C52" s="29" t="s">
        <v>507</v>
      </c>
      <c r="D52" s="90">
        <v>0</v>
      </c>
      <c r="E52" s="90">
        <v>0</v>
      </c>
      <c r="F52" s="90">
        <v>0</v>
      </c>
      <c r="G52" s="90">
        <v>0</v>
      </c>
      <c r="H52" s="90">
        <v>0</v>
      </c>
      <c r="I52" s="555">
        <f>SUM(D52:INDEX(D52:H52,0,MATCH('RFPR cover'!$C$9,$D$6:$H$6,0)))</f>
        <v>0</v>
      </c>
      <c r="J52" s="555">
        <f t="shared" si="7"/>
        <v>0</v>
      </c>
    </row>
    <row r="53" spans="1:11">
      <c r="B53" s="526" t="s">
        <v>881</v>
      </c>
      <c r="C53" s="29" t="s">
        <v>507</v>
      </c>
      <c r="D53" s="90">
        <v>0</v>
      </c>
      <c r="E53" s="90">
        <v>0</v>
      </c>
      <c r="F53" s="90">
        <v>0</v>
      </c>
      <c r="G53" s="90">
        <v>0</v>
      </c>
      <c r="H53" s="90">
        <v>0</v>
      </c>
      <c r="I53" s="555">
        <f>SUM(D53:INDEX(D53:H53,0,MATCH('RFPR cover'!$C$9,$D$6:$H$6,0)))</f>
        <v>0</v>
      </c>
      <c r="J53" s="555">
        <f t="shared" si="7"/>
        <v>0</v>
      </c>
    </row>
    <row r="54" spans="1:11">
      <c r="B54" s="526" t="s">
        <v>881</v>
      </c>
      <c r="C54" s="29" t="s">
        <v>507</v>
      </c>
      <c r="D54" s="90">
        <v>0</v>
      </c>
      <c r="E54" s="90">
        <v>0</v>
      </c>
      <c r="F54" s="90">
        <v>0</v>
      </c>
      <c r="G54" s="90">
        <v>0</v>
      </c>
      <c r="H54" s="90">
        <v>0</v>
      </c>
      <c r="I54" s="555">
        <f>SUM(D54:INDEX(D54:H54,0,MATCH('RFPR cover'!$C$9,$D$6:$H$6,0)))</f>
        <v>0</v>
      </c>
      <c r="J54" s="555">
        <f t="shared" si="7"/>
        <v>0</v>
      </c>
    </row>
    <row r="55" spans="1:11">
      <c r="A55" s="535"/>
      <c r="B55" s="536"/>
      <c r="C55" s="89"/>
      <c r="D55" s="537"/>
      <c r="E55" s="537"/>
      <c r="F55" s="537"/>
      <c r="G55" s="537"/>
      <c r="H55" s="537"/>
      <c r="I55" s="538"/>
      <c r="J55" s="538"/>
      <c r="K55" s="535"/>
    </row>
    <row r="56" spans="1:11">
      <c r="B56" s="539" t="s">
        <v>638</v>
      </c>
      <c r="C56" s="40" t="s">
        <v>507</v>
      </c>
      <c r="D56" s="26">
        <f>SUM(D47:D54)</f>
        <v>0</v>
      </c>
      <c r="E56" s="26">
        <f t="shared" ref="E56:H56" si="8">SUM(E47:E54)</f>
        <v>0</v>
      </c>
      <c r="F56" s="26">
        <f t="shared" si="8"/>
        <v>0</v>
      </c>
      <c r="G56" s="26">
        <f t="shared" si="8"/>
        <v>0</v>
      </c>
      <c r="H56" s="26">
        <f t="shared" si="8"/>
        <v>0</v>
      </c>
      <c r="I56" s="555">
        <f>SUM(D56:INDEX(D56:H56,0,MATCH('RFPR cover'!$C$9,$D$6:$H$6,0)))</f>
        <v>0</v>
      </c>
      <c r="J56" s="556">
        <f>SUM(D56:H56)</f>
        <v>0</v>
      </c>
    </row>
    <row r="57" spans="1:11">
      <c r="B57" s="539" t="s">
        <v>638</v>
      </c>
      <c r="C57" s="440" t="str">
        <f>Data!$C$9</f>
        <v>£m 20/21</v>
      </c>
      <c r="D57" s="26">
        <f>D56/D42</f>
        <v>0</v>
      </c>
      <c r="E57" s="26">
        <f t="shared" ref="E57:H57" si="9">E56/E42</f>
        <v>0</v>
      </c>
      <c r="F57" s="26">
        <f t="shared" si="9"/>
        <v>0</v>
      </c>
      <c r="G57" s="26">
        <f t="shared" si="9"/>
        <v>0</v>
      </c>
      <c r="H57" s="26">
        <f t="shared" si="9"/>
        <v>0</v>
      </c>
      <c r="I57" s="555">
        <f>SUM(D57:INDEX(D57:H57,0,MATCH('RFPR cover'!$C$9,$D$6:$H$6,0)))</f>
        <v>0</v>
      </c>
      <c r="J57" s="556">
        <f>SUM(D57:H57)</f>
        <v>0</v>
      </c>
    </row>
    <row r="58" spans="1:11">
      <c r="B58" s="79"/>
      <c r="C58" s="432"/>
      <c r="D58" s="533"/>
      <c r="E58" s="533"/>
      <c r="F58" s="533"/>
      <c r="G58" s="533"/>
      <c r="H58" s="533"/>
      <c r="I58" s="534"/>
      <c r="J58" s="534"/>
    </row>
    <row r="59" spans="1:11">
      <c r="A59" s="431"/>
      <c r="B59" s="303"/>
      <c r="C59" s="303"/>
      <c r="D59" s="303"/>
      <c r="E59" s="303"/>
      <c r="F59" s="303"/>
      <c r="G59" s="303"/>
      <c r="H59" s="303"/>
      <c r="I59" s="303"/>
      <c r="J59" s="303"/>
      <c r="K59" s="303"/>
    </row>
    <row r="60" spans="1:11">
      <c r="A60" s="431"/>
      <c r="B60" s="540" t="s">
        <v>639</v>
      </c>
      <c r="C60" s="357"/>
      <c r="D60" s="357"/>
      <c r="E60" s="357"/>
      <c r="F60" s="357"/>
      <c r="G60" s="357"/>
      <c r="H60" s="357"/>
      <c r="I60" s="357"/>
      <c r="J60" s="357"/>
      <c r="K60" s="357"/>
    </row>
    <row r="61" spans="1:11">
      <c r="A61" s="431"/>
      <c r="B61" s="541" t="s">
        <v>640</v>
      </c>
      <c r="C61" s="542"/>
      <c r="D61" s="542"/>
      <c r="E61" s="542"/>
      <c r="F61" s="542"/>
      <c r="G61" s="542"/>
      <c r="H61" s="542"/>
      <c r="I61" s="542"/>
      <c r="J61" s="542"/>
      <c r="K61" s="542"/>
    </row>
    <row r="62" spans="1:11">
      <c r="A62" s="431"/>
      <c r="B62" s="303"/>
      <c r="C62" s="303"/>
      <c r="D62" s="303"/>
      <c r="E62" s="303"/>
      <c r="F62" s="303"/>
      <c r="G62" s="303"/>
      <c r="H62" s="303"/>
      <c r="I62" s="303"/>
      <c r="J62" s="303"/>
      <c r="K62" s="303"/>
    </row>
    <row r="63" spans="1:11">
      <c r="B63" s="79" t="s">
        <v>24</v>
      </c>
      <c r="C63" s="432" t="s">
        <v>486</v>
      </c>
      <c r="D63" s="91">
        <f>Data!$C$8</f>
        <v>0.6</v>
      </c>
      <c r="E63" s="92">
        <f>Data!$C$8</f>
        <v>0.6</v>
      </c>
      <c r="F63" s="92">
        <f>Data!$C$8</f>
        <v>0.6</v>
      </c>
      <c r="G63" s="92">
        <f>Data!$C$8</f>
        <v>0.6</v>
      </c>
      <c r="H63" s="92">
        <f>Data!$C$8</f>
        <v>0.6</v>
      </c>
      <c r="I63" s="303"/>
      <c r="K63" s="310"/>
    </row>
    <row r="64" spans="1:11">
      <c r="B64" s="79" t="s">
        <v>641</v>
      </c>
      <c r="C64" s="432" t="s">
        <v>486</v>
      </c>
      <c r="D64" s="92">
        <f>'R6 - Net Debt'!D75</f>
        <v>0.58193751896717805</v>
      </c>
      <c r="E64" s="92">
        <f>'R6 - Net Debt'!E75</f>
        <v>0.60646653429806385</v>
      </c>
      <c r="F64" s="92">
        <f>'R6 - Net Debt'!F75</f>
        <v>0.59732396268669896</v>
      </c>
      <c r="G64" s="92">
        <f>'R6 - Net Debt'!G75</f>
        <v>0.60032013777399829</v>
      </c>
      <c r="H64" s="92">
        <f>'R6 - Net Debt'!H75</f>
        <v>0.60043681474814137</v>
      </c>
      <c r="I64" s="303"/>
      <c r="K64" s="310"/>
    </row>
    <row r="65" spans="2:12">
      <c r="B65" s="79"/>
      <c r="C65" s="432"/>
      <c r="D65" s="432"/>
      <c r="E65" s="432"/>
      <c r="F65" s="432"/>
      <c r="G65" s="432"/>
      <c r="H65" s="432"/>
      <c r="I65" s="303"/>
      <c r="K65" s="310"/>
    </row>
    <row r="66" spans="2:12">
      <c r="B66" s="79" t="s">
        <v>642</v>
      </c>
      <c r="C66" s="29" t="s">
        <v>507</v>
      </c>
      <c r="D66" s="18">
        <f t="shared" ref="D66:H66" si="10">D40</f>
        <v>-27.918485542098679</v>
      </c>
      <c r="E66" s="19">
        <f t="shared" si="10"/>
        <v>48.899667852429161</v>
      </c>
      <c r="F66" s="19">
        <f t="shared" si="10"/>
        <v>68.072364663198954</v>
      </c>
      <c r="G66" s="19">
        <f t="shared" si="10"/>
        <v>63.243670901172948</v>
      </c>
      <c r="H66" s="19">
        <f t="shared" si="10"/>
        <v>55.202749997394442</v>
      </c>
    </row>
    <row r="67" spans="2:12">
      <c r="B67" s="79" t="s">
        <v>643</v>
      </c>
      <c r="C67" s="29" t="s">
        <v>507</v>
      </c>
      <c r="D67" s="18">
        <f>((D63-D64)/D64)*D66</f>
        <v>-0.86654855398266994</v>
      </c>
      <c r="E67" s="18">
        <f t="shared" ref="E67:H67" si="11">((E63-E64)/E64)*E66</f>
        <v>-0.52139955207529098</v>
      </c>
      <c r="F67" s="18">
        <f t="shared" si="11"/>
        <v>0.30496715220330189</v>
      </c>
      <c r="G67" s="18">
        <f t="shared" si="11"/>
        <v>-3.3726484833339565E-2</v>
      </c>
      <c r="H67" s="18">
        <f t="shared" si="11"/>
        <v>-4.0159721630224375E-2</v>
      </c>
      <c r="K67" s="310"/>
    </row>
    <row r="68" spans="2:12">
      <c r="B68" s="79" t="s">
        <v>644</v>
      </c>
      <c r="C68" s="29" t="s">
        <v>507</v>
      </c>
      <c r="D68" s="21">
        <f>SUM(D66:D67)</f>
        <v>-28.78503409608135</v>
      </c>
      <c r="E68" s="22">
        <f t="shared" ref="E68:H68" si="12">SUM(E66:E67)</f>
        <v>48.378268300353866</v>
      </c>
      <c r="F68" s="22">
        <f t="shared" si="12"/>
        <v>68.377331815402258</v>
      </c>
      <c r="G68" s="22">
        <f t="shared" si="12"/>
        <v>63.20994441633961</v>
      </c>
      <c r="H68" s="22">
        <f t="shared" si="12"/>
        <v>55.162590275764217</v>
      </c>
    </row>
    <row r="69" spans="2:12">
      <c r="B69" s="79"/>
      <c r="C69" s="29"/>
      <c r="D69" s="29"/>
      <c r="E69" s="29"/>
      <c r="F69" s="29"/>
      <c r="G69" s="29"/>
      <c r="H69" s="29"/>
      <c r="I69" s="29"/>
      <c r="J69" s="29"/>
      <c r="K69" s="29"/>
      <c r="L69" s="29"/>
    </row>
    <row r="70" spans="2:12">
      <c r="B70" s="78" t="s">
        <v>644</v>
      </c>
      <c r="C70" s="440" t="str">
        <f>Data!$C$9</f>
        <v>£m 20/21</v>
      </c>
      <c r="D70" s="26">
        <f t="shared" ref="D70:G70" si="13">D68/D42</f>
        <v>-22.477373515865885</v>
      </c>
      <c r="E70" s="27">
        <f t="shared" si="13"/>
        <v>36.743655966352023</v>
      </c>
      <c r="F70" s="27">
        <f>F68/F42</f>
        <v>51.134536859384816</v>
      </c>
      <c r="G70" s="27">
        <f t="shared" si="13"/>
        <v>46.473199842868468</v>
      </c>
      <c r="H70" s="27">
        <f>H68/H42</f>
        <v>39.785534948893279</v>
      </c>
      <c r="I70" s="555">
        <f>SUM(D70:INDEX(D70:H70,0,MATCH('RFPR cover'!$C$9,$D$6:$H$6,0)))</f>
        <v>-22.477373515865885</v>
      </c>
      <c r="J70" s="556">
        <f>SUM(D70:H70)</f>
        <v>151.65955410163269</v>
      </c>
    </row>
    <row r="71" spans="2:12">
      <c r="B71" s="79" t="s">
        <v>645</v>
      </c>
      <c r="C71" s="432" t="str">
        <f>Data!$C$9</f>
        <v>£m 20/21</v>
      </c>
      <c r="D71" s="18">
        <f>D57*((D63-D64)/D64)+D57</f>
        <v>0</v>
      </c>
      <c r="E71" s="18">
        <f t="shared" ref="E71:H71" si="14">E57*((E63-E64)/E64)+E57</f>
        <v>0</v>
      </c>
      <c r="F71" s="18">
        <f t="shared" si="14"/>
        <v>0</v>
      </c>
      <c r="G71" s="18">
        <f t="shared" si="14"/>
        <v>0</v>
      </c>
      <c r="H71" s="18">
        <f t="shared" si="14"/>
        <v>0</v>
      </c>
      <c r="I71" s="557">
        <f>SUM(D71:INDEX(D71:H71,0,MATCH('RFPR cover'!$C$9,$D$6:$H$6,0)))</f>
        <v>0</v>
      </c>
      <c r="J71" s="558">
        <f>SUM(D71:H71)</f>
        <v>0</v>
      </c>
      <c r="K71" s="432"/>
    </row>
    <row r="72" spans="2:12"/>
    <row r="73" spans="2:12">
      <c r="B73" s="543" t="s">
        <v>646</v>
      </c>
      <c r="C73" s="544"/>
      <c r="D73" s="544"/>
      <c r="E73" s="544"/>
      <c r="F73" s="544"/>
      <c r="G73" s="544"/>
      <c r="H73" s="544"/>
      <c r="I73" s="544"/>
      <c r="J73" s="544"/>
      <c r="K73" s="544"/>
      <c r="L73" s="432"/>
    </row>
    <row r="74" spans="2:12">
      <c r="B74" s="454"/>
      <c r="C74" s="432"/>
      <c r="D74" s="432"/>
      <c r="E74" s="432"/>
      <c r="F74" s="432"/>
      <c r="G74" s="432"/>
      <c r="H74" s="432"/>
      <c r="I74" s="432"/>
      <c r="J74" s="432"/>
      <c r="K74" s="432"/>
      <c r="L74" s="432"/>
    </row>
    <row r="75" spans="2:12">
      <c r="B75" s="541" t="s">
        <v>647</v>
      </c>
      <c r="C75" s="545"/>
      <c r="D75" s="545"/>
      <c r="E75" s="545"/>
      <c r="F75" s="545"/>
      <c r="G75" s="545"/>
      <c r="H75" s="545"/>
      <c r="I75" s="545"/>
      <c r="J75" s="545"/>
      <c r="K75" s="545"/>
      <c r="L75" s="432"/>
    </row>
    <row r="76" spans="2:12">
      <c r="B76" s="546"/>
      <c r="C76" s="546"/>
      <c r="D76" s="546"/>
      <c r="E76" s="546"/>
      <c r="F76" s="546"/>
      <c r="G76" s="546"/>
      <c r="H76" s="546"/>
      <c r="I76" s="546"/>
      <c r="J76" s="546"/>
      <c r="K76" s="546"/>
      <c r="L76" s="432"/>
    </row>
    <row r="77" spans="2:12">
      <c r="B77" s="79" t="s">
        <v>648</v>
      </c>
      <c r="C77" s="432" t="str">
        <f>Data!$C$9</f>
        <v>£m 20/21</v>
      </c>
      <c r="D77" s="483">
        <f>'R7 - RAV'!F43</f>
        <v>40.511416167323169</v>
      </c>
      <c r="E77" s="483">
        <f>'R7 - RAV'!G43</f>
        <v>42.815506919238146</v>
      </c>
      <c r="F77" s="483">
        <f>'R7 - RAV'!H43</f>
        <v>45.619725063236565</v>
      </c>
      <c r="G77" s="483">
        <f>'R7 - RAV'!I43</f>
        <v>47.497133620065725</v>
      </c>
      <c r="H77" s="483">
        <f>'R7 - RAV'!J43</f>
        <v>49.477342310588035</v>
      </c>
      <c r="I77" s="546"/>
      <c r="J77" s="547"/>
      <c r="L77" s="432"/>
    </row>
    <row r="78" spans="2:12">
      <c r="B78" s="79"/>
      <c r="C78" s="432"/>
      <c r="D78" s="548"/>
      <c r="E78" s="548"/>
      <c r="F78" s="548"/>
      <c r="G78" s="548"/>
      <c r="H78" s="548"/>
      <c r="I78" s="546"/>
      <c r="J78" s="534"/>
      <c r="L78" s="432"/>
    </row>
    <row r="79" spans="2:12">
      <c r="B79" s="79"/>
      <c r="C79" s="432"/>
      <c r="D79" s="548"/>
      <c r="E79" s="549"/>
      <c r="F79" s="549"/>
      <c r="G79" s="549"/>
      <c r="H79" s="549"/>
      <c r="I79" s="534"/>
      <c r="J79" s="534"/>
      <c r="L79" s="432"/>
    </row>
    <row r="80" spans="2:12">
      <c r="B80" s="550" t="s">
        <v>649</v>
      </c>
      <c r="C80" s="544"/>
      <c r="D80" s="544"/>
      <c r="E80" s="544"/>
      <c r="F80" s="544"/>
      <c r="G80" s="544"/>
      <c r="H80" s="544"/>
      <c r="I80" s="544"/>
      <c r="J80" s="544"/>
      <c r="K80" s="544"/>
    </row>
    <row r="81" spans="2:11">
      <c r="B81" s="541" t="s">
        <v>650</v>
      </c>
      <c r="C81" s="542"/>
      <c r="D81" s="542"/>
      <c r="E81" s="542"/>
      <c r="F81" s="542"/>
      <c r="G81" s="542"/>
      <c r="H81" s="542"/>
      <c r="I81" s="542"/>
      <c r="J81" s="542"/>
      <c r="K81" s="542"/>
    </row>
    <row r="82" spans="2:11" ht="24.6" customHeight="1">
      <c r="B82" s="524" t="s">
        <v>651</v>
      </c>
      <c r="C82" s="432"/>
      <c r="D82" s="432"/>
      <c r="E82" s="432"/>
      <c r="F82" s="432"/>
      <c r="G82" s="432"/>
      <c r="H82" s="432"/>
      <c r="I82" s="432"/>
      <c r="J82" s="432"/>
      <c r="K82" s="432"/>
    </row>
    <row r="83" spans="2:11">
      <c r="B83" s="79" t="s">
        <v>652</v>
      </c>
      <c r="C83" s="432" t="str">
        <f>Data!$C$9</f>
        <v>£m 20/21</v>
      </c>
      <c r="D83" s="26">
        <f>D77-D44-D57</f>
        <v>62.312127795192417</v>
      </c>
      <c r="E83" s="26">
        <f>E77-E44-E57</f>
        <v>5.6758441003149969</v>
      </c>
      <c r="F83" s="26">
        <f>F77-F44-F57</f>
        <v>-5.2867485817581183</v>
      </c>
      <c r="G83" s="26">
        <f>G77-G44-G57</f>
        <v>0.99913739928346956</v>
      </c>
      <c r="H83" s="26">
        <f>H77-H44-H57</f>
        <v>9.6628425143141357</v>
      </c>
      <c r="I83" s="555">
        <f>SUM(D83:INDEX(D83:H83,0,MATCH('RFPR cover'!$C$9,$D$6:$H$6,0)))</f>
        <v>62.312127795192417</v>
      </c>
      <c r="J83" s="556">
        <f>SUM(D83:H83)</f>
        <v>73.363203227346901</v>
      </c>
      <c r="K83" s="432"/>
    </row>
    <row r="84" spans="2:11">
      <c r="B84" s="79"/>
      <c r="K84" s="432"/>
    </row>
    <row r="85" spans="2:11">
      <c r="B85" s="79" t="s">
        <v>653</v>
      </c>
      <c r="C85" s="432" t="str">
        <f>Data!$C$9</f>
        <v>£m 20/21</v>
      </c>
      <c r="D85" s="26">
        <f>D77-D70-D71</f>
        <v>62.988789683189054</v>
      </c>
      <c r="E85" s="26">
        <f>E77-E70-E71</f>
        <v>6.0718509528861233</v>
      </c>
      <c r="F85" s="26">
        <f>F77-F70-F71</f>
        <v>-5.5148117961482512</v>
      </c>
      <c r="G85" s="26">
        <f>G77-G70-G71</f>
        <v>1.0239337771972572</v>
      </c>
      <c r="H85" s="26">
        <f>H77-H70-H71</f>
        <v>9.6918073616947567</v>
      </c>
      <c r="I85" s="555">
        <f>SUM(D85:INDEX(D85:H85,0,MATCH('RFPR cover'!$C$9,$D$6:$H$6,0)))</f>
        <v>62.988789683189054</v>
      </c>
      <c r="J85" s="556">
        <f>SUM(D85:H85)</f>
        <v>74.26156997881894</v>
      </c>
      <c r="K85" s="432"/>
    </row>
    <row r="86" spans="2:11">
      <c r="B86" s="79"/>
      <c r="K86" s="432"/>
    </row>
    <row r="87" spans="2:11">
      <c r="B87" s="79" t="s">
        <v>654</v>
      </c>
      <c r="C87" s="432" t="str">
        <f>Data!$C$9</f>
        <v>£m 20/21</v>
      </c>
      <c r="D87" s="26">
        <f>D83-D85</f>
        <v>-0.67666188799663729</v>
      </c>
      <c r="E87" s="26">
        <f t="shared" ref="E87:H87" si="15">E83-E85</f>
        <v>-0.39600685257112644</v>
      </c>
      <c r="F87" s="26">
        <f t="shared" si="15"/>
        <v>0.22806321439013288</v>
      </c>
      <c r="G87" s="26">
        <f t="shared" si="15"/>
        <v>-2.4796377913787637E-2</v>
      </c>
      <c r="H87" s="26">
        <f t="shared" si="15"/>
        <v>-2.8964847380620995E-2</v>
      </c>
      <c r="I87" s="555">
        <f>SUM(D87:INDEX(D87:H87,0,MATCH('RFPR cover'!$C$9,$D$6:$H$6,0)))</f>
        <v>-0.67666188799663729</v>
      </c>
      <c r="J87" s="556">
        <f>SUM(D87:H87)</f>
        <v>-0.89836675147203948</v>
      </c>
      <c r="K87" s="432"/>
    </row>
    <row r="88" spans="2:11">
      <c r="K88" s="432"/>
    </row>
    <row r="89" spans="2:11">
      <c r="K89" s="432"/>
    </row>
    <row r="90" spans="2:11">
      <c r="K90" s="432"/>
    </row>
    <row r="91" spans="2:11">
      <c r="K91" s="432"/>
    </row>
    <row r="92" spans="2:11"/>
    <row r="93" spans="2:11"/>
    <row r="94" spans="2:11"/>
    <row r="95" spans="2:11"/>
    <row r="96" spans="2:11"/>
    <row r="97"/>
    <row r="98"/>
    <row r="99"/>
    <row r="100"/>
  </sheetData>
  <sheetProtection insertRows="0" sort="0" autoFilter="0" pivotTables="0"/>
  <conditionalFormatting sqref="D48">
    <cfRule type="expression" dxfId="35" priority="4">
      <formula>D$5="Forecast"</formula>
    </cfRule>
    <cfRule type="expression" dxfId="34" priority="5">
      <formula>C$12="N/A"</formula>
    </cfRule>
  </conditionalFormatting>
  <conditionalFormatting sqref="D30:H30">
    <cfRule type="expression" dxfId="33" priority="1">
      <formula>D$5="Actuals"</formula>
    </cfRule>
  </conditionalFormatting>
  <pageMargins left="0.70866141732283472" right="0.70866141732283472" top="0.74803149606299213" bottom="0.74803149606299213" header="0.31496062992125984" footer="0.31496062992125984"/>
  <pageSetup paperSize="8" scale="65" orientation="landscape" r:id="rId1"/>
  <headerFooter>
    <oddFooter>&amp;C_x000D_&amp;1#&amp;"Calibri"&amp;12&amp;K008000 Internal Use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W113"/>
  <sheetViews>
    <sheetView zoomScaleNormal="100" workbookViewId="0"/>
  </sheetViews>
  <sheetFormatPr defaultColWidth="0" defaultRowHeight="12.75" zeroHeight="1"/>
  <cols>
    <col min="1" max="1" width="8.375" style="103" customWidth="1"/>
    <col min="2" max="2" width="85.75" style="103" bestFit="1" customWidth="1"/>
    <col min="3" max="3" width="14.125" style="103" customWidth="1"/>
    <col min="4" max="8" width="11.125" style="103" customWidth="1"/>
    <col min="9" max="9" width="5" style="103" customWidth="1"/>
    <col min="10" max="10" width="12.875" style="103" customWidth="1"/>
    <col min="11" max="23" width="9.25" style="103" customWidth="1"/>
    <col min="24" max="16384" width="9" style="103" hidden="1"/>
  </cols>
  <sheetData>
    <row r="1" spans="1:23" ht="20.25">
      <c r="A1" s="288" t="s">
        <v>266</v>
      </c>
      <c r="B1" s="290"/>
      <c r="C1" s="291"/>
      <c r="D1" s="291"/>
      <c r="E1" s="291"/>
      <c r="F1" s="291"/>
      <c r="G1" s="291"/>
      <c r="H1" s="291"/>
      <c r="I1" s="420"/>
    </row>
    <row r="2" spans="1:23" ht="20.25">
      <c r="A2" s="293" t="str">
        <f>Licensee</f>
        <v>SPMW</v>
      </c>
      <c r="B2" s="295"/>
      <c r="C2" s="296"/>
      <c r="D2" s="296"/>
      <c r="E2" s="296"/>
      <c r="F2" s="296"/>
      <c r="G2" s="296"/>
      <c r="H2" s="296"/>
      <c r="I2" s="298"/>
    </row>
    <row r="3" spans="1:23" ht="20.25">
      <c r="A3" s="515">
        <f>Reporting_Year</f>
        <v>2024</v>
      </c>
      <c r="B3" s="516" t="str">
        <f>'R5 - Financing'!B3</f>
        <v/>
      </c>
      <c r="C3" s="299"/>
      <c r="D3" s="299"/>
      <c r="E3" s="299"/>
      <c r="F3" s="299"/>
      <c r="G3" s="299"/>
      <c r="H3" s="299"/>
      <c r="I3" s="301"/>
    </row>
    <row r="4" spans="1:23" ht="12.75" customHeight="1">
      <c r="A4" s="517"/>
      <c r="B4" s="517"/>
      <c r="C4" s="517"/>
      <c r="D4" s="517"/>
      <c r="E4" s="517"/>
      <c r="F4" s="517"/>
      <c r="G4" s="517"/>
      <c r="H4" s="517"/>
      <c r="I4" s="518"/>
    </row>
    <row r="5" spans="1:23">
      <c r="A5" s="303"/>
      <c r="B5" s="444"/>
      <c r="C5" s="444"/>
      <c r="D5" s="302" t="str">
        <f t="shared" ref="D5:H5" si="0">IF(D6&lt;=Reporting_Year,"Actuals","Forecast")</f>
        <v>Actuals</v>
      </c>
      <c r="E5" s="302" t="str">
        <f t="shared" si="0"/>
        <v>Forecast</v>
      </c>
      <c r="F5" s="302" t="str">
        <f t="shared" si="0"/>
        <v>Forecast</v>
      </c>
      <c r="G5" s="302" t="str">
        <f t="shared" si="0"/>
        <v>Forecast</v>
      </c>
      <c r="H5" s="302" t="str">
        <f t="shared" si="0"/>
        <v>Forecast</v>
      </c>
      <c r="I5" s="303"/>
      <c r="J5" s="303"/>
      <c r="K5" s="303"/>
      <c r="L5" s="303"/>
      <c r="M5" s="303"/>
      <c r="N5" s="303"/>
      <c r="O5" s="303"/>
      <c r="P5" s="303"/>
      <c r="Q5" s="303"/>
      <c r="R5" s="303"/>
      <c r="S5" s="303"/>
      <c r="T5" s="303"/>
      <c r="U5" s="303"/>
      <c r="V5" s="303"/>
      <c r="W5" s="303"/>
    </row>
    <row r="6" spans="1:23">
      <c r="A6" s="303"/>
      <c r="B6" s="303"/>
      <c r="C6" s="303"/>
      <c r="D6" s="421">
        <f>'RFPR cover'!$C$6</f>
        <v>2024</v>
      </c>
      <c r="E6" s="422">
        <f>D6+1</f>
        <v>2025</v>
      </c>
      <c r="F6" s="422">
        <f t="shared" ref="F6:H6" si="1">E6+1</f>
        <v>2026</v>
      </c>
      <c r="G6" s="422">
        <f t="shared" si="1"/>
        <v>2027</v>
      </c>
      <c r="H6" s="422">
        <f t="shared" si="1"/>
        <v>2028</v>
      </c>
      <c r="I6" s="303"/>
      <c r="J6" s="303"/>
      <c r="K6" s="303"/>
      <c r="L6" s="303"/>
      <c r="M6" s="303"/>
      <c r="N6" s="303"/>
      <c r="O6" s="303"/>
      <c r="P6" s="303"/>
      <c r="Q6" s="303"/>
      <c r="R6" s="303"/>
      <c r="S6" s="303"/>
      <c r="T6" s="303"/>
      <c r="U6" s="303"/>
      <c r="V6" s="303"/>
      <c r="W6" s="303"/>
    </row>
    <row r="7" spans="1:23">
      <c r="A7" s="303"/>
      <c r="B7" s="303"/>
      <c r="C7" s="303"/>
      <c r="D7" s="421" t="str">
        <f>RIIO_2_start_date-1&amp;"/"&amp;RIGHT(RIIO_2_start_date,2)</f>
        <v>2023/24</v>
      </c>
      <c r="E7" s="421" t="str">
        <f>RIIO_2_start_date&amp;"/"&amp;RIGHT(RIIO_2_start_date+1,2)</f>
        <v>2024/25</v>
      </c>
      <c r="F7" s="421" t="str">
        <f>RIIO_2_start_date+1&amp;"/"&amp;RIGHT(RIIO_2_start_date+2,2)</f>
        <v>2025/26</v>
      </c>
      <c r="G7" s="421" t="str">
        <f>RIIO_2_start_date+2&amp;"/"&amp;RIGHT(RIIO_2_start_date+3,2)</f>
        <v>2026/27</v>
      </c>
      <c r="H7" s="522" t="str">
        <f>RIIO_2_start_date+3&amp;"/"&amp;RIGHT(RIIO_2_start_date+4,2)</f>
        <v>2027/28</v>
      </c>
      <c r="I7" s="303"/>
      <c r="J7" s="303"/>
      <c r="K7" s="303"/>
      <c r="L7" s="303"/>
      <c r="M7" s="303"/>
      <c r="N7" s="303"/>
      <c r="O7" s="303"/>
      <c r="P7" s="303"/>
      <c r="Q7" s="303"/>
      <c r="R7" s="303"/>
      <c r="S7" s="303"/>
      <c r="T7" s="303"/>
      <c r="U7" s="303"/>
      <c r="V7" s="303"/>
      <c r="W7" s="303"/>
    </row>
    <row r="8" spans="1:23">
      <c r="A8" s="303"/>
      <c r="B8" s="303"/>
      <c r="C8" s="303"/>
      <c r="D8" s="303"/>
      <c r="E8" s="303"/>
      <c r="F8" s="303"/>
      <c r="G8" s="303"/>
      <c r="H8" s="303"/>
      <c r="I8" s="303"/>
      <c r="J8" s="303"/>
      <c r="K8" s="303"/>
      <c r="L8" s="303"/>
      <c r="M8" s="303"/>
      <c r="N8" s="303"/>
      <c r="O8" s="303"/>
      <c r="P8" s="303"/>
      <c r="Q8" s="303"/>
      <c r="R8" s="303"/>
      <c r="S8" s="303"/>
      <c r="T8" s="303"/>
      <c r="U8" s="303"/>
      <c r="V8" s="303"/>
      <c r="W8" s="303"/>
    </row>
    <row r="9" spans="1:23">
      <c r="A9" s="303"/>
      <c r="B9" s="79" t="s">
        <v>656</v>
      </c>
      <c r="C9" s="29" t="s">
        <v>507</v>
      </c>
      <c r="D9" s="559">
        <v>-7.5</v>
      </c>
      <c r="E9" s="566">
        <f>D11</f>
        <v>-12.7</v>
      </c>
      <c r="F9" s="566">
        <f t="shared" ref="F9:H9" si="2">E11</f>
        <v>0</v>
      </c>
      <c r="G9" s="566">
        <f t="shared" si="2"/>
        <v>0</v>
      </c>
      <c r="H9" s="566">
        <f t="shared" si="2"/>
        <v>0</v>
      </c>
      <c r="I9" s="303"/>
      <c r="J9" s="303"/>
      <c r="K9" s="303"/>
      <c r="L9" s="303"/>
      <c r="M9" s="303"/>
      <c r="N9" s="303"/>
      <c r="O9" s="303"/>
      <c r="P9" s="303"/>
      <c r="Q9" s="303"/>
      <c r="R9" s="303"/>
      <c r="S9" s="303"/>
      <c r="T9" s="303"/>
      <c r="U9" s="303"/>
      <c r="V9" s="303"/>
      <c r="W9" s="303"/>
    </row>
    <row r="10" spans="1:23">
      <c r="A10" s="303"/>
      <c r="B10" s="79"/>
      <c r="C10" s="303"/>
      <c r="D10" s="303"/>
      <c r="E10" s="303"/>
      <c r="F10" s="303"/>
      <c r="G10" s="303"/>
      <c r="H10" s="303"/>
      <c r="I10" s="303"/>
      <c r="J10" s="303"/>
      <c r="K10" s="303"/>
      <c r="L10" s="303"/>
      <c r="M10" s="303"/>
      <c r="N10" s="303"/>
      <c r="O10" s="303"/>
      <c r="P10" s="303"/>
      <c r="Q10" s="303"/>
      <c r="R10" s="303"/>
      <c r="S10" s="303"/>
      <c r="T10" s="303"/>
      <c r="U10" s="303"/>
      <c r="V10" s="303"/>
      <c r="W10" s="303"/>
    </row>
    <row r="11" spans="1:23">
      <c r="B11" s="79" t="s">
        <v>657</v>
      </c>
      <c r="C11" s="29" t="s">
        <v>507</v>
      </c>
      <c r="D11" s="567">
        <v>-12.7</v>
      </c>
      <c r="E11" s="567">
        <v>0</v>
      </c>
      <c r="F11" s="567">
        <v>0</v>
      </c>
      <c r="G11" s="567">
        <v>0</v>
      </c>
      <c r="H11" s="567">
        <v>0</v>
      </c>
    </row>
    <row r="12" spans="1:23">
      <c r="B12" s="311" t="s">
        <v>885</v>
      </c>
      <c r="C12" s="29" t="s">
        <v>507</v>
      </c>
      <c r="D12" s="568">
        <v>348.85450480999998</v>
      </c>
      <c r="E12" s="568">
        <v>348.85450480999998</v>
      </c>
      <c r="F12" s="568">
        <v>348.85450480999998</v>
      </c>
      <c r="G12" s="568">
        <v>348.85450480999998</v>
      </c>
      <c r="H12" s="568">
        <v>0</v>
      </c>
    </row>
    <row r="13" spans="1:23">
      <c r="B13" s="311" t="s">
        <v>886</v>
      </c>
      <c r="C13" s="29" t="s">
        <v>507</v>
      </c>
      <c r="D13" s="568">
        <v>0</v>
      </c>
      <c r="E13" s="568">
        <v>0</v>
      </c>
      <c r="F13" s="568">
        <v>0</v>
      </c>
      <c r="G13" s="568">
        <v>0</v>
      </c>
      <c r="H13" s="568">
        <v>0</v>
      </c>
    </row>
    <row r="14" spans="1:23">
      <c r="B14" s="311" t="s">
        <v>887</v>
      </c>
      <c r="C14" s="29" t="s">
        <v>507</v>
      </c>
      <c r="D14" s="568">
        <v>0</v>
      </c>
      <c r="E14" s="568">
        <v>0</v>
      </c>
      <c r="F14" s="568">
        <v>0</v>
      </c>
      <c r="G14" s="568">
        <v>0</v>
      </c>
      <c r="H14" s="568">
        <v>0</v>
      </c>
    </row>
    <row r="15" spans="1:23">
      <c r="B15" s="311" t="s">
        <v>888</v>
      </c>
      <c r="C15" s="29" t="s">
        <v>507</v>
      </c>
      <c r="D15" s="568">
        <v>-80.900402900000003</v>
      </c>
      <c r="E15" s="568">
        <v>0</v>
      </c>
      <c r="F15" s="568">
        <v>0</v>
      </c>
      <c r="G15" s="568">
        <v>0</v>
      </c>
      <c r="H15" s="568">
        <v>0</v>
      </c>
    </row>
    <row r="16" spans="1:23">
      <c r="B16" s="311" t="s">
        <v>889</v>
      </c>
      <c r="C16" s="29" t="s">
        <v>507</v>
      </c>
      <c r="D16" s="568">
        <v>1544.9999999900001</v>
      </c>
      <c r="E16" s="568">
        <v>1504.9999999900001</v>
      </c>
      <c r="F16" s="568">
        <v>1444.9999999900001</v>
      </c>
      <c r="G16" s="568">
        <v>1444.9999999900001</v>
      </c>
      <c r="H16" s="568">
        <v>1384.9999999900001</v>
      </c>
    </row>
    <row r="17" spans="2:10">
      <c r="B17" s="311" t="s">
        <v>890</v>
      </c>
      <c r="C17" s="29" t="s">
        <v>507</v>
      </c>
      <c r="D17" s="568">
        <v>0</v>
      </c>
      <c r="E17" s="568">
        <v>0</v>
      </c>
      <c r="F17" s="568">
        <v>0</v>
      </c>
      <c r="G17" s="568">
        <v>0</v>
      </c>
      <c r="H17" s="568">
        <v>0</v>
      </c>
    </row>
    <row r="18" spans="2:10">
      <c r="B18" s="311" t="s">
        <v>891</v>
      </c>
      <c r="C18" s="29" t="s">
        <v>507</v>
      </c>
      <c r="D18" s="568">
        <v>0</v>
      </c>
      <c r="E18" s="568">
        <v>0</v>
      </c>
      <c r="F18" s="568">
        <v>0</v>
      </c>
      <c r="G18" s="568">
        <v>0</v>
      </c>
      <c r="H18" s="568">
        <v>0</v>
      </c>
    </row>
    <row r="19" spans="2:10">
      <c r="B19" s="311" t="s">
        <v>892</v>
      </c>
      <c r="C19" s="29" t="s">
        <v>507</v>
      </c>
      <c r="D19" s="568">
        <v>0</v>
      </c>
      <c r="E19" s="568">
        <v>0</v>
      </c>
      <c r="F19" s="568">
        <v>0</v>
      </c>
      <c r="G19" s="568">
        <v>0</v>
      </c>
      <c r="H19" s="568">
        <v>0</v>
      </c>
    </row>
    <row r="20" spans="2:10">
      <c r="B20" s="311" t="s">
        <v>216</v>
      </c>
      <c r="C20" s="29" t="s">
        <v>507</v>
      </c>
      <c r="D20" s="568">
        <v>0</v>
      </c>
      <c r="E20" s="568">
        <v>0</v>
      </c>
      <c r="F20" s="568">
        <v>0</v>
      </c>
      <c r="G20" s="568">
        <v>0</v>
      </c>
      <c r="H20" s="568">
        <v>0</v>
      </c>
    </row>
    <row r="21" spans="2:10">
      <c r="B21" s="393" t="s">
        <v>658</v>
      </c>
      <c r="C21" s="40" t="s">
        <v>507</v>
      </c>
      <c r="D21" s="569">
        <f>SUM(D11:D20)</f>
        <v>1800.2541019</v>
      </c>
      <c r="E21" s="569">
        <f>SUM(E11:E20)</f>
        <v>1853.8545048000001</v>
      </c>
      <c r="F21" s="569">
        <f>SUM(F11:F20)</f>
        <v>1793.8545048000001</v>
      </c>
      <c r="G21" s="569">
        <f>SUM(G11:G20)</f>
        <v>1793.8545048000001</v>
      </c>
      <c r="H21" s="569">
        <f>SUM(H11:H20)</f>
        <v>1384.9999999900001</v>
      </c>
      <c r="I21" s="303"/>
      <c r="J21" s="560"/>
    </row>
    <row r="22" spans="2:10">
      <c r="B22" s="393"/>
      <c r="C22" s="29"/>
      <c r="D22" s="41"/>
      <c r="E22" s="41"/>
      <c r="F22" s="41"/>
      <c r="G22" s="41"/>
      <c r="H22" s="41"/>
      <c r="I22" s="303"/>
      <c r="J22" s="303"/>
    </row>
    <row r="23" spans="2:10">
      <c r="B23" s="393" t="s">
        <v>659</v>
      </c>
      <c r="C23" s="524"/>
      <c r="D23" s="561"/>
      <c r="E23" s="561"/>
      <c r="F23" s="561"/>
      <c r="G23" s="561"/>
      <c r="H23" s="561"/>
      <c r="I23" s="303"/>
      <c r="J23" s="303"/>
    </row>
    <row r="24" spans="2:10">
      <c r="B24" s="526" t="s">
        <v>893</v>
      </c>
      <c r="C24" s="29" t="s">
        <v>507</v>
      </c>
      <c r="D24" s="570">
        <v>0</v>
      </c>
      <c r="E24" s="570">
        <v>0</v>
      </c>
      <c r="F24" s="570">
        <v>0</v>
      </c>
      <c r="G24" s="570">
        <v>0</v>
      </c>
      <c r="H24" s="570">
        <v>0</v>
      </c>
      <c r="J24" s="303"/>
    </row>
    <row r="25" spans="2:10">
      <c r="B25" s="526" t="s">
        <v>894</v>
      </c>
      <c r="C25" s="29" t="s">
        <v>507</v>
      </c>
      <c r="D25" s="570">
        <v>0</v>
      </c>
      <c r="E25" s="570">
        <v>0</v>
      </c>
      <c r="F25" s="570">
        <v>0</v>
      </c>
      <c r="G25" s="570">
        <v>0</v>
      </c>
      <c r="H25" s="570">
        <v>0</v>
      </c>
      <c r="J25" s="303"/>
    </row>
    <row r="26" spans="2:10">
      <c r="B26" s="526" t="s">
        <v>895</v>
      </c>
      <c r="C26" s="29" t="s">
        <v>507</v>
      </c>
      <c r="D26" s="570">
        <v>0</v>
      </c>
      <c r="E26" s="570">
        <v>0</v>
      </c>
      <c r="F26" s="570">
        <v>0</v>
      </c>
      <c r="G26" s="570">
        <v>0</v>
      </c>
      <c r="H26" s="570">
        <v>0</v>
      </c>
      <c r="J26" s="303"/>
    </row>
    <row r="27" spans="2:10">
      <c r="B27" s="526" t="s">
        <v>896</v>
      </c>
      <c r="C27" s="29" t="s">
        <v>507</v>
      </c>
      <c r="D27" s="570">
        <v>0</v>
      </c>
      <c r="E27" s="570">
        <v>0</v>
      </c>
      <c r="F27" s="570">
        <v>0</v>
      </c>
      <c r="G27" s="570">
        <v>0</v>
      </c>
      <c r="H27" s="570">
        <v>0</v>
      </c>
      <c r="J27" s="303"/>
    </row>
    <row r="28" spans="2:10">
      <c r="B28" s="526" t="s">
        <v>897</v>
      </c>
      <c r="C28" s="29" t="s">
        <v>507</v>
      </c>
      <c r="D28" s="570">
        <v>0</v>
      </c>
      <c r="E28" s="570">
        <v>0</v>
      </c>
      <c r="F28" s="570">
        <v>0</v>
      </c>
      <c r="G28" s="570">
        <v>0</v>
      </c>
      <c r="H28" s="570">
        <v>0</v>
      </c>
      <c r="J28" s="303"/>
    </row>
    <row r="29" spans="2:10">
      <c r="B29" s="526" t="s">
        <v>898</v>
      </c>
      <c r="C29" s="29" t="s">
        <v>507</v>
      </c>
      <c r="D29" s="570">
        <v>0</v>
      </c>
      <c r="E29" s="570">
        <v>0</v>
      </c>
      <c r="F29" s="570">
        <v>0</v>
      </c>
      <c r="G29" s="570">
        <v>0</v>
      </c>
      <c r="H29" s="570">
        <v>0</v>
      </c>
      <c r="J29" s="303"/>
    </row>
    <row r="30" spans="2:10" ht="12.75" customHeight="1">
      <c r="B30" s="526" t="s">
        <v>899</v>
      </c>
      <c r="C30" s="29" t="s">
        <v>507</v>
      </c>
      <c r="D30" s="570">
        <v>0</v>
      </c>
      <c r="E30" s="570">
        <v>0</v>
      </c>
      <c r="F30" s="570">
        <v>0</v>
      </c>
      <c r="G30" s="570">
        <v>0</v>
      </c>
      <c r="H30" s="570">
        <v>0</v>
      </c>
      <c r="J30" s="303"/>
    </row>
    <row r="31" spans="2:10">
      <c r="B31" s="526" t="s">
        <v>900</v>
      </c>
      <c r="C31" s="29" t="s">
        <v>507</v>
      </c>
      <c r="D31" s="570">
        <v>0</v>
      </c>
      <c r="E31" s="570">
        <v>0</v>
      </c>
      <c r="F31" s="570">
        <v>0</v>
      </c>
      <c r="G31" s="570">
        <v>0</v>
      </c>
      <c r="H31" s="570">
        <v>0</v>
      </c>
      <c r="J31" s="303"/>
    </row>
    <row r="32" spans="2:10">
      <c r="B32" s="526" t="s">
        <v>901</v>
      </c>
      <c r="C32" s="29" t="s">
        <v>507</v>
      </c>
      <c r="D32" s="570">
        <v>0</v>
      </c>
      <c r="E32" s="570">
        <v>0</v>
      </c>
      <c r="F32" s="570">
        <v>0</v>
      </c>
      <c r="G32" s="570">
        <v>0</v>
      </c>
      <c r="H32" s="570">
        <v>0</v>
      </c>
      <c r="J32" s="303"/>
    </row>
    <row r="33" spans="2:11">
      <c r="B33" s="526" t="s">
        <v>902</v>
      </c>
      <c r="C33" s="29" t="s">
        <v>507</v>
      </c>
      <c r="D33" s="570">
        <v>0</v>
      </c>
      <c r="E33" s="570">
        <v>0</v>
      </c>
      <c r="F33" s="570">
        <v>0</v>
      </c>
      <c r="G33" s="570">
        <v>0</v>
      </c>
      <c r="H33" s="570">
        <v>0</v>
      </c>
      <c r="J33" s="303"/>
    </row>
    <row r="34" spans="2:11">
      <c r="B34" s="526" t="s">
        <v>671</v>
      </c>
      <c r="C34" s="29" t="s">
        <v>507</v>
      </c>
      <c r="D34" s="570">
        <v>0</v>
      </c>
      <c r="E34" s="570">
        <v>0</v>
      </c>
      <c r="F34" s="570">
        <v>0</v>
      </c>
      <c r="G34" s="570">
        <v>0</v>
      </c>
      <c r="H34" s="570">
        <v>0</v>
      </c>
      <c r="J34" s="303"/>
    </row>
    <row r="35" spans="2:11">
      <c r="B35" s="526" t="s">
        <v>672</v>
      </c>
      <c r="C35" s="29" t="s">
        <v>507</v>
      </c>
      <c r="D35" s="570">
        <v>0</v>
      </c>
      <c r="E35" s="570">
        <v>0</v>
      </c>
      <c r="F35" s="570">
        <v>0</v>
      </c>
      <c r="G35" s="570">
        <v>0</v>
      </c>
      <c r="H35" s="570">
        <v>0</v>
      </c>
      <c r="J35" s="303"/>
      <c r="K35" s="562"/>
    </row>
    <row r="36" spans="2:11">
      <c r="B36" s="526" t="s">
        <v>673</v>
      </c>
      <c r="C36" s="29" t="s">
        <v>507</v>
      </c>
      <c r="D36" s="570">
        <v>0</v>
      </c>
      <c r="E36" s="570">
        <v>0</v>
      </c>
      <c r="F36" s="570">
        <v>0</v>
      </c>
      <c r="G36" s="570">
        <v>0</v>
      </c>
      <c r="H36" s="570">
        <v>0</v>
      </c>
    </row>
    <row r="37" spans="2:11">
      <c r="B37" s="526" t="s">
        <v>674</v>
      </c>
      <c r="C37" s="29" t="s">
        <v>507</v>
      </c>
      <c r="D37" s="570">
        <v>0</v>
      </c>
      <c r="E37" s="570">
        <v>0</v>
      </c>
      <c r="F37" s="570">
        <v>0</v>
      </c>
      <c r="G37" s="570">
        <v>0</v>
      </c>
      <c r="H37" s="570">
        <v>0</v>
      </c>
    </row>
    <row r="38" spans="2:11">
      <c r="B38" s="526" t="s">
        <v>675</v>
      </c>
      <c r="C38" s="29" t="s">
        <v>507</v>
      </c>
      <c r="D38" s="570">
        <v>0</v>
      </c>
      <c r="E38" s="570">
        <v>0</v>
      </c>
      <c r="F38" s="570">
        <v>0</v>
      </c>
      <c r="G38" s="570">
        <v>0</v>
      </c>
      <c r="H38" s="570">
        <v>0</v>
      </c>
    </row>
    <row r="39" spans="2:11">
      <c r="B39" s="526" t="s">
        <v>903</v>
      </c>
      <c r="C39" s="29" t="s">
        <v>507</v>
      </c>
      <c r="D39" s="570">
        <v>0</v>
      </c>
      <c r="E39" s="570">
        <v>0</v>
      </c>
      <c r="F39" s="570">
        <v>0</v>
      </c>
      <c r="G39" s="570">
        <v>0</v>
      </c>
      <c r="H39" s="570">
        <v>0</v>
      </c>
    </row>
    <row r="40" spans="2:11">
      <c r="B40" s="527" t="s">
        <v>660</v>
      </c>
      <c r="C40" s="29" t="s">
        <v>507</v>
      </c>
      <c r="D40" s="77">
        <f>SUM(D21,D24:D39)</f>
        <v>1800.2541019</v>
      </c>
      <c r="E40" s="77">
        <f t="shared" ref="E40:H40" si="3">SUM(E21,E24:E39)</f>
        <v>1853.8545048000001</v>
      </c>
      <c r="F40" s="77">
        <f t="shared" si="3"/>
        <v>1793.8545048000001</v>
      </c>
      <c r="G40" s="77">
        <f t="shared" si="3"/>
        <v>1793.8545048000001</v>
      </c>
      <c r="H40" s="77">
        <f t="shared" si="3"/>
        <v>1384.9999999900001</v>
      </c>
    </row>
    <row r="41" spans="2:11">
      <c r="B41" s="528" t="s">
        <v>661</v>
      </c>
      <c r="C41" s="29" t="s">
        <v>507</v>
      </c>
      <c r="D41" s="377"/>
      <c r="E41" s="563">
        <v>8.4139022403217041</v>
      </c>
      <c r="F41" s="563">
        <v>183.34314076177066</v>
      </c>
      <c r="G41" s="563">
        <v>303.33684334001691</v>
      </c>
      <c r="H41" s="563">
        <v>816.45200974633235</v>
      </c>
    </row>
    <row r="42" spans="2:11">
      <c r="B42" s="527" t="s">
        <v>662</v>
      </c>
      <c r="C42" s="29" t="s">
        <v>507</v>
      </c>
      <c r="D42" s="18">
        <f>SUM(D40:D41)</f>
        <v>1800.2541019</v>
      </c>
      <c r="E42" s="19">
        <f t="shared" ref="E42:H42" si="4">SUM(E40:E41)</f>
        <v>1862.2684070403218</v>
      </c>
      <c r="F42" s="19">
        <f t="shared" si="4"/>
        <v>1977.1976455617707</v>
      </c>
      <c r="G42" s="19">
        <f t="shared" si="4"/>
        <v>2097.191348140017</v>
      </c>
      <c r="H42" s="19">
        <f t="shared" si="4"/>
        <v>2201.4520097363325</v>
      </c>
    </row>
    <row r="43" spans="2:11">
      <c r="D43" s="552" t="s">
        <v>904</v>
      </c>
      <c r="E43" s="552" t="s">
        <v>904</v>
      </c>
      <c r="F43" s="552" t="s">
        <v>904</v>
      </c>
      <c r="G43" s="552" t="s">
        <v>904</v>
      </c>
      <c r="H43" s="552" t="s">
        <v>904</v>
      </c>
    </row>
    <row r="44" spans="2:11"/>
    <row r="45" spans="2:11">
      <c r="B45" s="564" t="s">
        <v>663</v>
      </c>
      <c r="C45" s="29" t="s">
        <v>507</v>
      </c>
      <c r="D45" s="563">
        <v>1505.3999999999999</v>
      </c>
      <c r="E45" s="19">
        <f>D46</f>
        <v>1800.2541019</v>
      </c>
      <c r="F45" s="19">
        <f t="shared" ref="F45:H45" si="5">E46</f>
        <v>1862.2684070403218</v>
      </c>
      <c r="G45" s="19">
        <f t="shared" si="5"/>
        <v>1977.1976455617707</v>
      </c>
      <c r="H45" s="19">
        <f t="shared" si="5"/>
        <v>2097.191348140017</v>
      </c>
      <c r="I45" s="124"/>
    </row>
    <row r="46" spans="2:11">
      <c r="B46" s="564" t="s">
        <v>664</v>
      </c>
      <c r="C46" s="29" t="s">
        <v>507</v>
      </c>
      <c r="D46" s="572">
        <f>D42</f>
        <v>1800.2541019</v>
      </c>
      <c r="E46" s="571">
        <f>E42</f>
        <v>1862.2684070403218</v>
      </c>
      <c r="F46" s="571">
        <f t="shared" ref="F46:H46" si="6">F42</f>
        <v>1977.1976455617707</v>
      </c>
      <c r="G46" s="571">
        <f t="shared" si="6"/>
        <v>2097.191348140017</v>
      </c>
      <c r="H46" s="571">
        <f t="shared" si="6"/>
        <v>2201.4520097363325</v>
      </c>
      <c r="I46" s="124"/>
    </row>
    <row r="47" spans="2:11">
      <c r="D47" s="565"/>
      <c r="E47" s="565"/>
      <c r="F47" s="565"/>
      <c r="G47" s="565"/>
      <c r="H47" s="565"/>
    </row>
    <row r="48" spans="2:11">
      <c r="B48" s="393" t="s">
        <v>665</v>
      </c>
      <c r="D48" s="565"/>
      <c r="E48" s="565"/>
      <c r="F48" s="565"/>
      <c r="G48" s="565"/>
      <c r="H48" s="565"/>
    </row>
    <row r="49" spans="2:10">
      <c r="B49" s="526" t="s">
        <v>666</v>
      </c>
      <c r="C49" s="29" t="s">
        <v>507</v>
      </c>
      <c r="D49" s="563">
        <v>0</v>
      </c>
      <c r="E49" s="563">
        <v>0</v>
      </c>
      <c r="F49" s="563">
        <v>0</v>
      </c>
      <c r="G49" s="563">
        <v>0</v>
      </c>
      <c r="H49" s="563">
        <v>0</v>
      </c>
    </row>
    <row r="50" spans="2:10">
      <c r="B50" s="526" t="s">
        <v>667</v>
      </c>
      <c r="C50" s="29" t="s">
        <v>507</v>
      </c>
      <c r="D50" s="563">
        <v>31.4</v>
      </c>
      <c r="E50" s="563">
        <v>0</v>
      </c>
      <c r="F50" s="563">
        <v>0</v>
      </c>
      <c r="G50" s="563">
        <v>0</v>
      </c>
      <c r="H50" s="563">
        <v>0</v>
      </c>
    </row>
    <row r="51" spans="2:10">
      <c r="B51" s="526" t="s">
        <v>668</v>
      </c>
      <c r="C51" s="29" t="s">
        <v>507</v>
      </c>
      <c r="D51" s="563">
        <v>0</v>
      </c>
      <c r="E51" s="563">
        <v>0</v>
      </c>
      <c r="F51" s="563">
        <v>0</v>
      </c>
      <c r="G51" s="563">
        <v>0</v>
      </c>
      <c r="H51" s="563">
        <v>0</v>
      </c>
    </row>
    <row r="52" spans="2:10">
      <c r="B52" s="526" t="s">
        <v>669</v>
      </c>
      <c r="C52" s="29" t="s">
        <v>507</v>
      </c>
      <c r="D52" s="563">
        <v>0</v>
      </c>
      <c r="E52" s="563">
        <v>0</v>
      </c>
      <c r="F52" s="563">
        <v>0</v>
      </c>
      <c r="G52" s="563">
        <v>0</v>
      </c>
      <c r="H52" s="563">
        <v>0</v>
      </c>
    </row>
    <row r="53" spans="2:10">
      <c r="B53" s="526" t="s">
        <v>670</v>
      </c>
      <c r="C53" s="29" t="s">
        <v>507</v>
      </c>
      <c r="D53" s="563">
        <v>56.9</v>
      </c>
      <c r="E53" s="563">
        <v>0</v>
      </c>
      <c r="F53" s="563">
        <v>0</v>
      </c>
      <c r="G53" s="563">
        <v>0</v>
      </c>
      <c r="H53" s="563">
        <v>0</v>
      </c>
    </row>
    <row r="54" spans="2:10">
      <c r="B54" s="526" t="s">
        <v>671</v>
      </c>
      <c r="C54" s="29" t="s">
        <v>507</v>
      </c>
      <c r="D54" s="563">
        <v>0</v>
      </c>
      <c r="E54" s="563">
        <v>0</v>
      </c>
      <c r="F54" s="563">
        <v>0</v>
      </c>
      <c r="G54" s="563">
        <v>0</v>
      </c>
      <c r="H54" s="563">
        <v>0</v>
      </c>
    </row>
    <row r="55" spans="2:10">
      <c r="B55" s="526" t="s">
        <v>672</v>
      </c>
      <c r="C55" s="29" t="s">
        <v>507</v>
      </c>
      <c r="D55" s="563">
        <v>0</v>
      </c>
      <c r="E55" s="563">
        <v>0</v>
      </c>
      <c r="F55" s="563">
        <v>0</v>
      </c>
      <c r="G55" s="563">
        <v>0</v>
      </c>
      <c r="H55" s="563">
        <v>0</v>
      </c>
    </row>
    <row r="56" spans="2:10">
      <c r="B56" s="526" t="s">
        <v>673</v>
      </c>
      <c r="C56" s="29" t="s">
        <v>507</v>
      </c>
      <c r="D56" s="563">
        <v>0</v>
      </c>
      <c r="E56" s="563">
        <v>0</v>
      </c>
      <c r="F56" s="563">
        <v>0</v>
      </c>
      <c r="G56" s="563">
        <v>0</v>
      </c>
      <c r="H56" s="563">
        <v>0</v>
      </c>
    </row>
    <row r="57" spans="2:10">
      <c r="B57" s="526" t="s">
        <v>674</v>
      </c>
      <c r="C57" s="29" t="s">
        <v>507</v>
      </c>
      <c r="D57" s="563">
        <v>0</v>
      </c>
      <c r="E57" s="563">
        <v>0</v>
      </c>
      <c r="F57" s="563">
        <v>0</v>
      </c>
      <c r="G57" s="563">
        <v>0</v>
      </c>
      <c r="H57" s="563">
        <v>0</v>
      </c>
    </row>
    <row r="58" spans="2:10">
      <c r="B58" s="526" t="s">
        <v>675</v>
      </c>
      <c r="C58" s="29" t="s">
        <v>507</v>
      </c>
      <c r="D58" s="563">
        <v>0</v>
      </c>
      <c r="E58" s="563">
        <v>0</v>
      </c>
      <c r="F58" s="563">
        <v>0</v>
      </c>
      <c r="G58" s="563">
        <v>0</v>
      </c>
      <c r="H58" s="563">
        <v>0</v>
      </c>
    </row>
    <row r="59" spans="2:10">
      <c r="B59" s="526" t="s">
        <v>676</v>
      </c>
      <c r="C59" s="29" t="s">
        <v>507</v>
      </c>
      <c r="D59" s="18">
        <f>SUM(D49:D58)+D42</f>
        <v>1888.5541019</v>
      </c>
      <c r="E59" s="18">
        <f t="shared" ref="E59:H59" si="7">SUM(E49:E58)+E42</f>
        <v>1862.2684070403218</v>
      </c>
      <c r="F59" s="18">
        <f t="shared" si="7"/>
        <v>1977.1976455617707</v>
      </c>
      <c r="G59" s="18">
        <f t="shared" si="7"/>
        <v>2097.191348140017</v>
      </c>
      <c r="H59" s="225">
        <f t="shared" si="7"/>
        <v>2201.4520097363325</v>
      </c>
    </row>
    <row r="60" spans="2:10">
      <c r="D60" s="565"/>
      <c r="E60" s="565"/>
      <c r="F60" s="565"/>
      <c r="G60" s="565"/>
      <c r="H60" s="565"/>
    </row>
    <row r="61" spans="2:10">
      <c r="B61" s="393" t="s">
        <v>677</v>
      </c>
    </row>
    <row r="62" spans="2:10">
      <c r="B62" s="103" t="s">
        <v>678</v>
      </c>
      <c r="C62" s="124" t="s">
        <v>486</v>
      </c>
      <c r="D62" s="573">
        <v>0</v>
      </c>
      <c r="E62" s="573">
        <v>0</v>
      </c>
      <c r="F62" s="573">
        <v>0</v>
      </c>
      <c r="G62" s="573">
        <v>0</v>
      </c>
      <c r="H62" s="573">
        <v>0</v>
      </c>
    </row>
    <row r="63" spans="2:10">
      <c r="B63" s="103" t="s">
        <v>655</v>
      </c>
      <c r="C63" s="124" t="s">
        <v>486</v>
      </c>
      <c r="D63" s="574">
        <f>1-D62</f>
        <v>1</v>
      </c>
      <c r="E63" s="575">
        <f t="shared" ref="E63:H63" si="8">1-E62</f>
        <v>1</v>
      </c>
      <c r="F63" s="575">
        <f t="shared" si="8"/>
        <v>1</v>
      </c>
      <c r="G63" s="575">
        <f t="shared" si="8"/>
        <v>1</v>
      </c>
      <c r="H63" s="575">
        <f t="shared" si="8"/>
        <v>1</v>
      </c>
      <c r="J63" s="562"/>
    </row>
    <row r="64" spans="2:10">
      <c r="C64" s="124"/>
      <c r="D64" s="124"/>
      <c r="E64" s="124"/>
      <c r="F64" s="124"/>
      <c r="G64" s="124"/>
      <c r="H64" s="124"/>
      <c r="I64" s="124"/>
    </row>
    <row r="65" spans="2:8">
      <c r="B65" s="103" t="s">
        <v>679</v>
      </c>
      <c r="C65" s="29" t="s">
        <v>507</v>
      </c>
      <c r="D65" s="576">
        <f>AVERAGE(D45:D46)*D63</f>
        <v>1652.8270509499998</v>
      </c>
      <c r="E65" s="577">
        <f t="shared" ref="E65:H65" si="9">AVERAGE(E45:E46)*E63</f>
        <v>1831.261254470161</v>
      </c>
      <c r="F65" s="577">
        <f t="shared" si="9"/>
        <v>1919.7330263010463</v>
      </c>
      <c r="G65" s="577">
        <f t="shared" si="9"/>
        <v>2037.1944968508938</v>
      </c>
      <c r="H65" s="577">
        <f t="shared" si="9"/>
        <v>2149.321678938175</v>
      </c>
    </row>
    <row r="66" spans="2:8">
      <c r="B66" s="103" t="s">
        <v>680</v>
      </c>
      <c r="C66" s="29" t="s">
        <v>507</v>
      </c>
      <c r="D66" s="578">
        <f>D67-D65</f>
        <v>1187.3868845313127</v>
      </c>
      <c r="E66" s="579">
        <f t="shared" ref="E66:G66" si="10">E67-E65</f>
        <v>1188.2973706231401</v>
      </c>
      <c r="F66" s="579">
        <f t="shared" si="10"/>
        <v>1294.1561631871732</v>
      </c>
      <c r="G66" s="579">
        <f t="shared" si="10"/>
        <v>1356.3190114662862</v>
      </c>
      <c r="H66" s="579">
        <f>H67-H65</f>
        <v>1430.2750848607393</v>
      </c>
    </row>
    <row r="67" spans="2:8">
      <c r="B67" s="103" t="s">
        <v>681</v>
      </c>
      <c r="C67" s="29" t="s">
        <v>507</v>
      </c>
      <c r="D67" s="580">
        <f>IF(D6=RIIO_2_start_date,AVERAGE(('R7 - RAV'!F15*'R7 - RAV'!F30),'R7 - RAV'!F32),AVERAGE('R7 - RAV'!E32:F32))</f>
        <v>2840.2139354813125</v>
      </c>
      <c r="E67" s="580">
        <f>IF(E6=RIIO_2_start_date,AVERAGE(('R7 - RAV'!G15*'R7 - RAV'!G30),'R7 - RAV'!G32),AVERAGE('R7 - RAV'!F32:G32))</f>
        <v>3019.5586250933011</v>
      </c>
      <c r="F67" s="580">
        <f>IF(F6=RIIO_2_start_date,AVERAGE(('R7 - RAV'!H15*'R7 - RAV'!H30),'R7 - RAV'!H32),AVERAGE('R7 - RAV'!G32:H32))</f>
        <v>3213.8891894882195</v>
      </c>
      <c r="G67" s="580">
        <f>IF(G6=RIIO_2_start_date,AVERAGE(('R7 - RAV'!I15*'R7 - RAV'!I30),'R7 - RAV'!I32),AVERAGE('R7 - RAV'!H32:I32))</f>
        <v>3393.5135083171799</v>
      </c>
      <c r="H67" s="580">
        <f>IF(H6=RIIO_2_start_date,AVERAGE(('R7 - RAV'!J15*'R7 - RAV'!J30),'R7 - RAV'!J32),AVERAGE('R7 - RAV'!I32:J32))</f>
        <v>3579.5967637989143</v>
      </c>
    </row>
    <row r="68" spans="2:8">
      <c r="B68" s="103" t="s">
        <v>682</v>
      </c>
      <c r="C68" s="29" t="s">
        <v>486</v>
      </c>
      <c r="D68" s="581">
        <f>D65/D67</f>
        <v>0.58193751896717805</v>
      </c>
      <c r="E68" s="582">
        <f t="shared" ref="E68:H68" si="11">E65/E67</f>
        <v>0.60646653429806385</v>
      </c>
      <c r="F68" s="582">
        <f t="shared" si="11"/>
        <v>0.59732396268669896</v>
      </c>
      <c r="G68" s="582">
        <f t="shared" si="11"/>
        <v>0.60032013777399829</v>
      </c>
      <c r="H68" s="582">
        <f t="shared" si="11"/>
        <v>0.60043681474814137</v>
      </c>
    </row>
    <row r="69" spans="2:8">
      <c r="B69" s="103" t="s">
        <v>24</v>
      </c>
      <c r="C69" s="29" t="s">
        <v>486</v>
      </c>
      <c r="D69" s="583">
        <f>Data!$C$8</f>
        <v>0.6</v>
      </c>
      <c r="E69" s="584">
        <f>Data!$C$8</f>
        <v>0.6</v>
      </c>
      <c r="F69" s="584">
        <f>Data!$C$8</f>
        <v>0.6</v>
      </c>
      <c r="G69" s="584">
        <f>Data!$C$8</f>
        <v>0.6</v>
      </c>
      <c r="H69" s="584">
        <f>Data!$C$8</f>
        <v>0.6</v>
      </c>
    </row>
    <row r="70" spans="2:8">
      <c r="B70" s="103" t="s">
        <v>683</v>
      </c>
      <c r="C70" s="29" t="s">
        <v>486</v>
      </c>
      <c r="D70" s="585">
        <f t="shared" ref="D70:H70" si="12">IF(ISBLANK(D21),"n/a",D68-D69)</f>
        <v>-1.8062481032821931E-2</v>
      </c>
      <c r="E70" s="586">
        <f t="shared" si="12"/>
        <v>6.4665342980638751E-3</v>
      </c>
      <c r="F70" s="586">
        <f t="shared" si="12"/>
        <v>-2.6760373133010162E-3</v>
      </c>
      <c r="G70" s="586">
        <f t="shared" si="12"/>
        <v>3.2013777399830801E-4</v>
      </c>
      <c r="H70" s="586">
        <f t="shared" si="12"/>
        <v>4.3681474814138976E-4</v>
      </c>
    </row>
    <row r="71" spans="2:8"/>
    <row r="72" spans="2:8">
      <c r="B72" s="103" t="s">
        <v>684</v>
      </c>
      <c r="C72" s="432" t="str">
        <f>Data!$C$9</f>
        <v>£m 20/21</v>
      </c>
      <c r="D72" s="587">
        <f>D74*D68</f>
        <v>1267.479194314993</v>
      </c>
      <c r="E72" s="588">
        <f t="shared" ref="E72:H72" si="13">E74*E68</f>
        <v>1365.2035802063688</v>
      </c>
      <c r="F72" s="588">
        <f t="shared" si="13"/>
        <v>1406.0761068859745</v>
      </c>
      <c r="G72" s="588">
        <f t="shared" si="13"/>
        <v>1466.7430966392935</v>
      </c>
      <c r="H72" s="588">
        <f t="shared" si="13"/>
        <v>1518.8148169311312</v>
      </c>
    </row>
    <row r="73" spans="2:8">
      <c r="B73" s="103" t="s">
        <v>685</v>
      </c>
      <c r="C73" s="432" t="str">
        <f>Data!$C$9</f>
        <v>£m 20/21</v>
      </c>
      <c r="D73" s="589">
        <f>D74*(1-D68)</f>
        <v>910.55393296044622</v>
      </c>
      <c r="E73" s="590">
        <f t="shared" ref="E73:H73" si="14">E74*(1-E68)</f>
        <v>885.87459640972747</v>
      </c>
      <c r="F73" s="590">
        <f t="shared" si="14"/>
        <v>947.88287470517969</v>
      </c>
      <c r="G73" s="590">
        <f t="shared" si="14"/>
        <v>976.52509369330585</v>
      </c>
      <c r="H73" s="590">
        <f t="shared" si="14"/>
        <v>1010.701661115292</v>
      </c>
    </row>
    <row r="74" spans="2:8">
      <c r="B74" s="103" t="s">
        <v>686</v>
      </c>
      <c r="C74" s="432" t="str">
        <f>Data!$C$9</f>
        <v>£m 20/21</v>
      </c>
      <c r="D74" s="580">
        <f>'R7 - RAV'!F41</f>
        <v>2178.0331272754393</v>
      </c>
      <c r="E74" s="580">
        <f>'R7 - RAV'!G41</f>
        <v>2251.0781766160962</v>
      </c>
      <c r="F74" s="580">
        <f>'R7 - RAV'!H41</f>
        <v>2353.958981591154</v>
      </c>
      <c r="G74" s="580">
        <f>'R7 - RAV'!I41</f>
        <v>2443.2681903325993</v>
      </c>
      <c r="H74" s="580">
        <f>'R7 - RAV'!J41</f>
        <v>2529.5164780464233</v>
      </c>
    </row>
    <row r="75" spans="2:8">
      <c r="B75" s="103" t="s">
        <v>682</v>
      </c>
      <c r="C75" s="29" t="s">
        <v>486</v>
      </c>
      <c r="D75" s="581">
        <f>D72/D74</f>
        <v>0.58193751896717805</v>
      </c>
      <c r="E75" s="582">
        <f t="shared" ref="E75:H75" si="15">E72/E74</f>
        <v>0.60646653429806385</v>
      </c>
      <c r="F75" s="582">
        <f t="shared" si="15"/>
        <v>0.59732396268669896</v>
      </c>
      <c r="G75" s="582">
        <f t="shared" si="15"/>
        <v>0.60032013777399829</v>
      </c>
      <c r="H75" s="582">
        <f t="shared" si="15"/>
        <v>0.60043681474814137</v>
      </c>
    </row>
    <row r="76" spans="2:8">
      <c r="B76" s="103" t="s">
        <v>24</v>
      </c>
      <c r="C76" s="29" t="s">
        <v>486</v>
      </c>
      <c r="D76" s="583">
        <f>Data!$C$8</f>
        <v>0.6</v>
      </c>
      <c r="E76" s="584">
        <f>Data!$C$8</f>
        <v>0.6</v>
      </c>
      <c r="F76" s="584">
        <f>Data!$C$8</f>
        <v>0.6</v>
      </c>
      <c r="G76" s="584">
        <f>Data!$C$8</f>
        <v>0.6</v>
      </c>
      <c r="H76" s="584">
        <f>Data!$C$8</f>
        <v>0.6</v>
      </c>
    </row>
    <row r="77" spans="2:8">
      <c r="B77" s="103" t="s">
        <v>683</v>
      </c>
      <c r="C77" s="29" t="s">
        <v>486</v>
      </c>
      <c r="D77" s="585">
        <f t="shared" ref="D77:H77" si="16">IF(ISBLANK(D21),"n/a",D75-D76)</f>
        <v>-1.8062481032821931E-2</v>
      </c>
      <c r="E77" s="586">
        <f t="shared" si="16"/>
        <v>6.4665342980638751E-3</v>
      </c>
      <c r="F77" s="586">
        <f t="shared" si="16"/>
        <v>-2.6760373133010162E-3</v>
      </c>
      <c r="G77" s="586">
        <f t="shared" si="16"/>
        <v>3.2013777399830801E-4</v>
      </c>
      <c r="H77" s="586">
        <f t="shared" si="16"/>
        <v>4.3681474814138976E-4</v>
      </c>
    </row>
    <row r="78" spans="2:8"/>
    <row r="79" spans="2:8"/>
    <row r="80" spans="2:8"/>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heetData>
  <sheetProtection insertRows="0" sort="0" autoFilter="0" pivotTables="0"/>
  <conditionalFormatting sqref="D41">
    <cfRule type="expression" dxfId="32" priority="2">
      <formula>D$5="Forecast"</formula>
    </cfRule>
    <cfRule type="expression" dxfId="31" priority="3">
      <formula>C$12="N/A"</formula>
    </cfRule>
  </conditionalFormatting>
  <conditionalFormatting sqref="D41:H41">
    <cfRule type="expression" dxfId="30" priority="1">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&amp;C_x000D_&amp;1#&amp;"Calibri"&amp;12&amp;K008000 Internal Use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S64"/>
  <sheetViews>
    <sheetView zoomScaleNormal="100" workbookViewId="0"/>
  </sheetViews>
  <sheetFormatPr defaultColWidth="9" defaultRowHeight="12.75"/>
  <cols>
    <col min="1" max="1" width="8.375" style="103" customWidth="1"/>
    <col min="2" max="2" width="52.125" style="103" bestFit="1" customWidth="1"/>
    <col min="3" max="4" width="4.25" style="103" customWidth="1"/>
    <col min="5" max="5" width="14.125" style="124" customWidth="1"/>
    <col min="6" max="10" width="11.125" style="103" customWidth="1"/>
    <col min="11" max="11" width="5" style="103" customWidth="1"/>
    <col min="12" max="12" width="9" style="103"/>
    <col min="13" max="13" width="9" style="79"/>
    <col min="14" max="16384" width="9" style="103"/>
  </cols>
  <sheetData>
    <row r="1" spans="1:19" ht="20.25">
      <c r="A1" s="288" t="s">
        <v>687</v>
      </c>
      <c r="B1" s="290"/>
      <c r="C1" s="290"/>
      <c r="D1" s="290"/>
      <c r="E1" s="591"/>
      <c r="F1" s="291"/>
      <c r="G1" s="291"/>
      <c r="H1" s="291"/>
      <c r="I1" s="291"/>
      <c r="J1" s="291"/>
      <c r="K1" s="420"/>
    </row>
    <row r="2" spans="1:19" ht="20.25">
      <c r="A2" s="293" t="str">
        <f>Licensee</f>
        <v>SPMW</v>
      </c>
      <c r="B2" s="295"/>
      <c r="C2" s="295"/>
      <c r="D2" s="295"/>
      <c r="E2" s="592"/>
      <c r="F2" s="296"/>
      <c r="G2" s="296"/>
      <c r="H2" s="296"/>
      <c r="I2" s="296"/>
      <c r="J2" s="296"/>
      <c r="K2" s="298"/>
    </row>
    <row r="3" spans="1:19" ht="20.25">
      <c r="A3" s="295">
        <f>Reporting_Year</f>
        <v>2024</v>
      </c>
      <c r="B3" s="299"/>
      <c r="C3" s="299"/>
      <c r="D3" s="299"/>
      <c r="E3" s="299"/>
      <c r="F3" s="299"/>
      <c r="G3" s="299"/>
      <c r="H3" s="299"/>
      <c r="I3" s="299"/>
      <c r="J3" s="299"/>
      <c r="K3" s="301"/>
    </row>
    <row r="4" spans="1:19" s="303" customFormat="1" ht="12.75" customHeight="1">
      <c r="E4" s="431"/>
      <c r="M4" s="353"/>
    </row>
    <row r="5" spans="1:19" s="303" customFormat="1">
      <c r="B5" s="444"/>
      <c r="C5" s="444"/>
      <c r="D5" s="444"/>
      <c r="E5" s="431"/>
      <c r="F5" s="445" t="str">
        <f>IF(F6&lt;=Reporting_Year,"Actuals","Forecast")</f>
        <v>Actuals</v>
      </c>
      <c r="G5" s="445" t="str">
        <f>IF(G6&lt;=Reporting_Year,"Actuals","Forecast")</f>
        <v>Forecast</v>
      </c>
      <c r="H5" s="445" t="str">
        <f>IF(H6&lt;=Reporting_Year,"Actuals","Forecast")</f>
        <v>Forecast</v>
      </c>
      <c r="I5" s="445" t="str">
        <f>IF(I6&lt;=Reporting_Year,"Actuals","Forecast")</f>
        <v>Forecast</v>
      </c>
      <c r="J5" s="445" t="str">
        <f>IF(J6&lt;=Reporting_Year,"Actuals","Forecast")</f>
        <v>Forecast</v>
      </c>
      <c r="M5" s="353"/>
    </row>
    <row r="6" spans="1:19" s="303" customFormat="1">
      <c r="E6" s="431"/>
      <c r="F6" s="421">
        <f>'RFPR cover'!$C$6</f>
        <v>2024</v>
      </c>
      <c r="G6" s="422">
        <f>F6+1</f>
        <v>2025</v>
      </c>
      <c r="H6" s="422">
        <f t="shared" ref="H6:J6" si="0">G6+1</f>
        <v>2026</v>
      </c>
      <c r="I6" s="422">
        <f t="shared" si="0"/>
        <v>2027</v>
      </c>
      <c r="J6" s="422">
        <f t="shared" si="0"/>
        <v>2028</v>
      </c>
      <c r="M6" s="353"/>
    </row>
    <row r="7" spans="1:19" s="303" customFormat="1">
      <c r="E7" s="431"/>
      <c r="F7" s="421" t="str">
        <f>RIIO_2_start_date-1&amp;"/"&amp;RIGHT(RIIO_2_start_date,2)</f>
        <v>2023/24</v>
      </c>
      <c r="G7" s="421" t="str">
        <f>RIIO_2_start_date&amp;"/"&amp;RIGHT(RIIO_2_start_date+1,2)</f>
        <v>2024/25</v>
      </c>
      <c r="H7" s="421" t="str">
        <f>RIIO_2_start_date+1&amp;"/"&amp;RIGHT(RIIO_2_start_date+2,2)</f>
        <v>2025/26</v>
      </c>
      <c r="I7" s="421" t="str">
        <f>RIIO_2_start_date+2&amp;"/"&amp;RIGHT(RIIO_2_start_date+3,2)</f>
        <v>2026/27</v>
      </c>
      <c r="J7" s="522" t="str">
        <f>RIIO_2_start_date+3&amp;"/"&amp;RIGHT(RIIO_2_start_date+4,2)</f>
        <v>2027/28</v>
      </c>
      <c r="M7" s="353"/>
    </row>
    <row r="8" spans="1:19" s="303" customFormat="1">
      <c r="E8" s="431"/>
      <c r="F8" s="431"/>
      <c r="G8" s="431"/>
      <c r="H8" s="431"/>
      <c r="I8" s="431"/>
      <c r="J8" s="431"/>
      <c r="K8" s="431"/>
      <c r="L8" s="431"/>
      <c r="M8" s="431"/>
      <c r="N8" s="431"/>
      <c r="O8" s="431"/>
      <c r="P8" s="431"/>
      <c r="Q8" s="431"/>
      <c r="R8" s="431"/>
      <c r="S8" s="431"/>
    </row>
    <row r="9" spans="1:19" s="303" customFormat="1">
      <c r="B9" s="593" t="s">
        <v>688</v>
      </c>
      <c r="C9" s="593"/>
      <c r="D9" s="593"/>
      <c r="L9" s="431"/>
      <c r="M9" s="353"/>
    </row>
    <row r="10" spans="1:19" s="303" customFormat="1">
      <c r="L10" s="431"/>
    </row>
    <row r="11" spans="1:19" s="303" customFormat="1">
      <c r="B11" s="594"/>
      <c r="C11" s="594"/>
      <c r="D11" s="594"/>
      <c r="E11" s="594"/>
      <c r="F11" s="594"/>
      <c r="G11" s="594"/>
      <c r="H11" s="594"/>
      <c r="I11" s="594"/>
      <c r="J11" s="594"/>
      <c r="K11" s="594"/>
      <c r="L11" s="431"/>
      <c r="M11" s="353"/>
    </row>
    <row r="12" spans="1:19" s="303" customFormat="1">
      <c r="B12" s="103" t="s">
        <v>689</v>
      </c>
      <c r="C12" s="103"/>
      <c r="D12" s="103"/>
      <c r="E12" s="595" t="str">
        <f>Data!$C$9</f>
        <v>£m 20/21</v>
      </c>
      <c r="F12" s="596">
        <v>2251.0953032091338</v>
      </c>
      <c r="G12" s="596">
        <v>2357.8787088541844</v>
      </c>
      <c r="H12" s="596">
        <v>2446.4899302969284</v>
      </c>
      <c r="I12" s="596">
        <v>2520.7720409979547</v>
      </c>
      <c r="J12" s="596">
        <v>2596.879050346412</v>
      </c>
      <c r="L12" s="431"/>
      <c r="M12" s="353"/>
    </row>
    <row r="13" spans="1:19" s="303" customFormat="1">
      <c r="L13" s="431"/>
      <c r="M13" s="353"/>
    </row>
    <row r="14" spans="1:19" s="303" customFormat="1">
      <c r="B14" s="594"/>
      <c r="C14" s="594"/>
      <c r="D14" s="594"/>
      <c r="E14" s="431"/>
      <c r="F14" s="431"/>
      <c r="G14" s="431"/>
      <c r="H14" s="431"/>
      <c r="I14" s="431"/>
      <c r="J14" s="431"/>
      <c r="L14" s="431"/>
      <c r="M14" s="353"/>
    </row>
    <row r="15" spans="1:19" s="303" customFormat="1" ht="14.25">
      <c r="B15" s="303" t="s">
        <v>690</v>
      </c>
      <c r="E15" s="595" t="str">
        <f>Data!$C$9</f>
        <v>£m 20/21</v>
      </c>
      <c r="F15" s="596">
        <v>2201.3273083178578</v>
      </c>
      <c r="G15" s="612">
        <f>F24</f>
        <v>2240.3544333609129</v>
      </c>
      <c r="H15" s="612">
        <f>G24</f>
        <v>2355.3730796584659</v>
      </c>
      <c r="I15" s="612">
        <f>H24</f>
        <v>2450.0582707605718</v>
      </c>
      <c r="J15" s="612">
        <f>I24</f>
        <v>2537.7578863454578</v>
      </c>
      <c r="L15" s="431"/>
      <c r="M15" s="353"/>
    </row>
    <row r="16" spans="1:19" s="303" customFormat="1">
      <c r="B16" s="303" t="s">
        <v>691</v>
      </c>
      <c r="E16" s="595" t="str">
        <f>Data!$C$9</f>
        <v>£m 20/21</v>
      </c>
      <c r="F16" s="596">
        <v>0</v>
      </c>
      <c r="G16" s="596">
        <v>0</v>
      </c>
      <c r="H16" s="596">
        <v>0</v>
      </c>
      <c r="I16" s="596">
        <v>0</v>
      </c>
      <c r="J16" s="596">
        <v>0</v>
      </c>
      <c r="L16" s="431"/>
      <c r="M16" s="353"/>
    </row>
    <row r="17" spans="1:19" s="303" customFormat="1">
      <c r="B17" s="446" t="s">
        <v>692</v>
      </c>
      <c r="C17" s="446"/>
      <c r="D17" s="446"/>
      <c r="E17" s="595" t="str">
        <f>Data!$C$9</f>
        <v>£m 20/21</v>
      </c>
      <c r="F17" s="613">
        <f>SUM(F15:F16)</f>
        <v>2201.3273083178578</v>
      </c>
      <c r="G17" s="614">
        <f t="shared" ref="G17:J17" si="1">SUM(G15:G16)</f>
        <v>2240.3544333609129</v>
      </c>
      <c r="H17" s="614">
        <f t="shared" si="1"/>
        <v>2355.3730796584659</v>
      </c>
      <c r="I17" s="614">
        <f t="shared" si="1"/>
        <v>2450.0582707605718</v>
      </c>
      <c r="J17" s="614">
        <f t="shared" si="1"/>
        <v>2537.7578863454578</v>
      </c>
      <c r="L17" s="431"/>
      <c r="M17" s="353"/>
    </row>
    <row r="18" spans="1:19" s="303" customFormat="1">
      <c r="B18" s="597" t="s">
        <v>693</v>
      </c>
      <c r="C18" s="597"/>
      <c r="D18" s="597"/>
      <c r="E18" s="595" t="str">
        <f>Data!$C$9</f>
        <v>£m 20/21</v>
      </c>
      <c r="F18" s="598">
        <v>208.10404678392172</v>
      </c>
      <c r="G18" s="598">
        <v>263.50519207507847</v>
      </c>
      <c r="H18" s="598">
        <v>243.90722561490196</v>
      </c>
      <c r="I18" s="598">
        <v>227.5263671919565</v>
      </c>
      <c r="J18" s="598">
        <v>223.95163072147213</v>
      </c>
      <c r="L18" s="431"/>
      <c r="M18" s="353"/>
    </row>
    <row r="19" spans="1:19" s="303" customFormat="1">
      <c r="B19" s="597" t="s">
        <v>694</v>
      </c>
      <c r="C19" s="597"/>
      <c r="D19" s="597"/>
      <c r="E19" s="595" t="str">
        <f>Data!$C$9</f>
        <v>£m 20/21</v>
      </c>
      <c r="F19" s="599">
        <v>-10.740869848221195</v>
      </c>
      <c r="G19" s="599">
        <v>7.9965546558752294</v>
      </c>
      <c r="H19" s="599">
        <v>6.01298487730989</v>
      </c>
      <c r="I19" s="599">
        <v>13.490141987969565</v>
      </c>
      <c r="J19" s="599">
        <v>13.060181384340837</v>
      </c>
      <c r="L19" s="431"/>
      <c r="M19" s="353"/>
    </row>
    <row r="20" spans="1:19" s="303" customFormat="1">
      <c r="B20" s="600" t="s">
        <v>695</v>
      </c>
      <c r="C20" s="600"/>
      <c r="D20" s="600"/>
      <c r="E20" s="595" t="str">
        <f>Data!$C$9</f>
        <v>£m 20/21</v>
      </c>
      <c r="F20" s="615">
        <f>SUM(F18:F19)</f>
        <v>197.36317693570052</v>
      </c>
      <c r="G20" s="615">
        <f t="shared" ref="G20:J20" si="2">SUM(G18:G19)</f>
        <v>271.5017467309537</v>
      </c>
      <c r="H20" s="615">
        <f t="shared" si="2"/>
        <v>249.92021049221185</v>
      </c>
      <c r="I20" s="615">
        <f t="shared" si="2"/>
        <v>241.01650917992606</v>
      </c>
      <c r="J20" s="615">
        <f t="shared" si="2"/>
        <v>237.01181210581296</v>
      </c>
      <c r="L20" s="431"/>
      <c r="M20" s="353"/>
    </row>
    <row r="21" spans="1:19" s="303" customFormat="1">
      <c r="B21" s="597" t="s">
        <v>696</v>
      </c>
      <c r="C21" s="597"/>
      <c r="D21" s="597"/>
      <c r="E21" s="595" t="str">
        <f>Data!$C$9</f>
        <v>£m 20/21</v>
      </c>
      <c r="F21" s="601">
        <v>-158.33605189264563</v>
      </c>
      <c r="G21" s="601">
        <v>-156.72178643002775</v>
      </c>
      <c r="H21" s="601">
        <v>-155.29600417215818</v>
      </c>
      <c r="I21" s="601">
        <v>-153.24425649093007</v>
      </c>
      <c r="J21" s="601">
        <v>-147.844621373015</v>
      </c>
      <c r="L21" s="431"/>
      <c r="M21" s="353"/>
    </row>
    <row r="22" spans="1:19" s="303" customFormat="1">
      <c r="B22" s="597" t="s">
        <v>697</v>
      </c>
      <c r="C22" s="597"/>
      <c r="D22" s="597"/>
      <c r="E22" s="595" t="str">
        <f>Data!$C$9</f>
        <v>£m 20/21</v>
      </c>
      <c r="F22" s="603">
        <v>0</v>
      </c>
      <c r="G22" s="603">
        <v>0.23868599662713766</v>
      </c>
      <c r="H22" s="603">
        <v>6.0984782052132563E-2</v>
      </c>
      <c r="I22" s="603">
        <v>-7.2637104110309436E-2</v>
      </c>
      <c r="J22" s="603">
        <v>-0.37241803717629979</v>
      </c>
      <c r="L22" s="431"/>
      <c r="M22" s="353"/>
    </row>
    <row r="23" spans="1:19" s="303" customFormat="1">
      <c r="B23" s="360" t="s">
        <v>698</v>
      </c>
      <c r="C23" s="360"/>
      <c r="D23" s="360"/>
      <c r="E23" s="595" t="str">
        <f>Data!$C$9</f>
        <v>£m 20/21</v>
      </c>
      <c r="F23" s="616">
        <f>SUM(F21:F22)</f>
        <v>-158.33605189264563</v>
      </c>
      <c r="G23" s="616">
        <f t="shared" ref="G23:J23" si="3">SUM(G21:G22)</f>
        <v>-156.48310043340061</v>
      </c>
      <c r="H23" s="616">
        <f t="shared" si="3"/>
        <v>-155.23501939010603</v>
      </c>
      <c r="I23" s="616">
        <f t="shared" si="3"/>
        <v>-153.31689359504037</v>
      </c>
      <c r="J23" s="616">
        <f t="shared" si="3"/>
        <v>-148.21703941019129</v>
      </c>
      <c r="L23" s="738"/>
      <c r="M23" s="738"/>
      <c r="N23" s="738"/>
      <c r="O23" s="738"/>
    </row>
    <row r="24" spans="1:19" s="303" customFormat="1">
      <c r="B24" s="446" t="s">
        <v>699</v>
      </c>
      <c r="C24" s="446"/>
      <c r="D24" s="446"/>
      <c r="E24" s="595" t="str">
        <f>Data!$C$9</f>
        <v>£m 20/21</v>
      </c>
      <c r="F24" s="617">
        <f>F17+F20+F23</f>
        <v>2240.3544333609129</v>
      </c>
      <c r="G24" s="617">
        <f t="shared" ref="G24:J24" si="4">G17+G20+G23</f>
        <v>2355.3730796584659</v>
      </c>
      <c r="H24" s="617">
        <f t="shared" si="4"/>
        <v>2450.0582707605718</v>
      </c>
      <c r="I24" s="617">
        <f t="shared" si="4"/>
        <v>2537.7578863454578</v>
      </c>
      <c r="J24" s="617">
        <f t="shared" si="4"/>
        <v>2626.5526590410796</v>
      </c>
      <c r="L24" s="431"/>
      <c r="M24" s="353"/>
    </row>
    <row r="25" spans="1:19" s="303" customFormat="1">
      <c r="B25" s="446"/>
      <c r="C25" s="446"/>
      <c r="D25" s="446"/>
      <c r="E25" s="595"/>
      <c r="F25" s="595"/>
      <c r="G25" s="595"/>
      <c r="H25" s="595"/>
      <c r="I25" s="595"/>
      <c r="J25" s="595"/>
      <c r="K25" s="595"/>
      <c r="L25" s="431"/>
      <c r="M25" s="595"/>
      <c r="N25" s="595"/>
    </row>
    <row r="26" spans="1:19" s="303" customFormat="1">
      <c r="B26" s="446" t="s">
        <v>700</v>
      </c>
      <c r="C26" s="595"/>
      <c r="D26" s="595"/>
      <c r="E26" s="595" t="str">
        <f>Data!$C$9</f>
        <v>£m 20/21</v>
      </c>
      <c r="F26" s="617">
        <f>F19+F22</f>
        <v>-10.740869848221195</v>
      </c>
      <c r="G26" s="618">
        <f>G19+G22</f>
        <v>8.2352406525023678</v>
      </c>
      <c r="H26" s="618">
        <f t="shared" ref="H26:J26" si="5">H19+H22</f>
        <v>6.0739696593620227</v>
      </c>
      <c r="I26" s="618">
        <f t="shared" si="5"/>
        <v>13.417504883859255</v>
      </c>
      <c r="J26" s="619">
        <f t="shared" si="5"/>
        <v>12.687763347164537</v>
      </c>
      <c r="K26" s="595"/>
      <c r="L26" s="431"/>
      <c r="M26" s="595"/>
      <c r="N26" s="595"/>
    </row>
    <row r="27" spans="1:19" s="303" customFormat="1">
      <c r="B27" s="446" t="s">
        <v>701</v>
      </c>
      <c r="C27" s="595"/>
      <c r="D27" s="595"/>
      <c r="E27" s="605"/>
      <c r="F27" s="620" t="str">
        <f>IF(F5="Actuals",IF(ABS((F24-SUM($F26:F$26))-F12)&lt;0.1,"TRUE","FALSE"),"NA")</f>
        <v>TRUE</v>
      </c>
      <c r="G27" s="621" t="str">
        <f>IF(G5="Actuals",IF(ABS((G24-SUM($F26:G$26))-G12)&lt;0.1,"TRUE","FALSE"),"NA")</f>
        <v>NA</v>
      </c>
      <c r="H27" s="621" t="str">
        <f>IF(H5="Actuals",IF(ABS((H24-SUM($F26:H$26))-H12)&lt;0.1,"TRUE","FALSE"),"NA")</f>
        <v>NA</v>
      </c>
      <c r="I27" s="621" t="str">
        <f>IF(I5="Actuals",IF(ABS((I24-SUM($F26:I$26))-I12)&lt;0.1,"TRUE","FALSE"),"NA")</f>
        <v>NA</v>
      </c>
      <c r="J27" s="622" t="str">
        <f>IF(J5="Actuals",IF(ABS((J24-SUM($F26:J$26))-J12)&lt;0.1,"TRUE","FALSE"),"NA")</f>
        <v>NA</v>
      </c>
      <c r="K27" s="595"/>
      <c r="L27" s="431"/>
      <c r="N27" s="595"/>
    </row>
    <row r="28" spans="1:19" s="303" customFormat="1">
      <c r="B28" s="446"/>
      <c r="C28" s="446"/>
      <c r="D28" s="446"/>
      <c r="E28" s="595"/>
      <c r="F28" s="595"/>
      <c r="G28" s="595"/>
      <c r="H28" s="595"/>
      <c r="I28" s="595"/>
      <c r="J28" s="595"/>
      <c r="K28" s="595"/>
      <c r="L28" s="431"/>
      <c r="M28" s="595"/>
      <c r="N28" s="595"/>
    </row>
    <row r="29" spans="1:19" s="303" customFormat="1">
      <c r="B29" s="446"/>
      <c r="C29" s="446"/>
      <c r="D29" s="446"/>
      <c r="E29" s="595"/>
      <c r="F29" s="604"/>
      <c r="G29" s="595"/>
      <c r="H29" s="604"/>
      <c r="I29" s="604"/>
      <c r="J29" s="604"/>
      <c r="K29" s="595"/>
      <c r="L29" s="431"/>
      <c r="M29" s="595"/>
      <c r="N29" s="595"/>
    </row>
    <row r="30" spans="1:19" s="303" customFormat="1">
      <c r="A30" s="103"/>
      <c r="B30" s="303" t="s">
        <v>702</v>
      </c>
      <c r="E30" s="124" t="s">
        <v>703</v>
      </c>
      <c r="F30" s="724">
        <f>IF(Sector="ED2",(INDEX(Data!C29:N29,MATCH(RIIO_2_start_date-1,Data!C27:N27,0))/Data!$E$28),INDEX(Data!C20:N20,MATCH(RIIO_2_start_date-1,Data!C18:N18,0))/Data!$C$19)</f>
        <v>1.2567228174904603</v>
      </c>
      <c r="G30" s="595"/>
      <c r="H30" s="604"/>
      <c r="I30" s="604"/>
      <c r="J30" s="606"/>
      <c r="K30" s="607"/>
      <c r="L30" s="431"/>
      <c r="M30" s="742"/>
      <c r="N30" s="742"/>
    </row>
    <row r="31" spans="1:19" s="303" customFormat="1">
      <c r="B31" s="446"/>
      <c r="C31" s="446"/>
      <c r="D31" s="446"/>
      <c r="E31" s="595"/>
      <c r="F31" s="608"/>
      <c r="G31" s="608"/>
      <c r="H31" s="608"/>
      <c r="I31" s="608"/>
      <c r="J31" s="608"/>
      <c r="K31" s="595"/>
      <c r="L31" s="431"/>
    </row>
    <row r="32" spans="1:19" s="303" customFormat="1">
      <c r="B32" s="446" t="s">
        <v>699</v>
      </c>
      <c r="C32" s="446"/>
      <c r="D32" s="446"/>
      <c r="E32" s="29" t="s">
        <v>507</v>
      </c>
      <c r="F32" s="623">
        <f>IF(Sector="ED2",F24*Data!H36,F24*Combined_real_to_nominal_prices_conversion_factor__financial_year_end)</f>
        <v>2913.9696138347153</v>
      </c>
      <c r="G32" s="623">
        <f>IF(Sector="ED2",G24*Data!I36,G24*Combined_real_to_nominal_prices_conversion_factor__financial_year_end)</f>
        <v>3125.1476363518864</v>
      </c>
      <c r="H32" s="623">
        <f>IF(Sector="ED2",H24*Data!J36,H24*Combined_real_to_nominal_prices_conversion_factor__financial_year_end)</f>
        <v>3302.6307426245526</v>
      </c>
      <c r="I32" s="623">
        <f>IF(Sector="ED2",I24*Data!K36,I24*Combined_real_to_nominal_prices_conversion_factor__financial_year_end)</f>
        <v>3484.3962740098068</v>
      </c>
      <c r="J32" s="759">
        <f>IF(Sector="ED2",J24*Data!L36,J24*Combined_real_to_nominal_prices_conversion_factor__financial_year_end)</f>
        <v>3674.7972535880212</v>
      </c>
      <c r="Q32" s="738"/>
      <c r="R32" s="738"/>
      <c r="S32" s="738"/>
    </row>
    <row r="33" spans="1:14" s="303" customFormat="1">
      <c r="B33" s="446"/>
      <c r="C33" s="446"/>
      <c r="D33" s="446"/>
      <c r="E33" s="595"/>
      <c r="F33" s="595"/>
      <c r="G33" s="595"/>
      <c r="H33" s="595"/>
      <c r="I33" s="595"/>
      <c r="J33" s="595"/>
      <c r="K33" s="595"/>
      <c r="L33" s="431"/>
      <c r="M33" s="595"/>
      <c r="N33" s="595"/>
    </row>
    <row r="34" spans="1:14" s="303" customFormat="1">
      <c r="B34" s="353" t="s">
        <v>704</v>
      </c>
      <c r="C34" s="353"/>
      <c r="D34" s="353"/>
      <c r="E34" s="595" t="s">
        <v>705</v>
      </c>
      <c r="F34" s="624">
        <f>INDEX(Data!$H$63:$P$91,MATCH('RFPR cover'!$C$7,Data!$B$63:$B$91,0),MATCH('R7 - RAV'!F$6,Data!$H$62:$P$62,0))</f>
        <v>3.1E-2</v>
      </c>
      <c r="G34" s="624">
        <f>INDEX(Data!$H$63:$P$91,MATCH('RFPR cover'!$C$7,Data!$B$63:$B$91,0),MATCH('R7 - RAV'!G$6,Data!$H$62:$P$62,0))</f>
        <v>3.1699999999999999E-2</v>
      </c>
      <c r="H34" s="624">
        <f>INDEX(Data!$H$63:$P$91,MATCH('RFPR cover'!$C$7,Data!$B$63:$B$91,0),MATCH('R7 - RAV'!H$6,Data!$H$62:$P$62,0))</f>
        <v>3.2300000000000002E-2</v>
      </c>
      <c r="I34" s="624">
        <f>INDEX(Data!$H$63:$P$91,MATCH('RFPR cover'!$C$7,Data!$B$63:$B$91,0),MATCH('R7 - RAV'!I$6,Data!$H$62:$P$62,0))</f>
        <v>3.2399999999999998E-2</v>
      </c>
      <c r="J34" s="624">
        <f>INDEX(Data!$H$63:$P$91,MATCH('RFPR cover'!$C$7,Data!$B$63:$B$91,0),MATCH('R7 - RAV'!J$6,Data!$H$62:$P$62,0))</f>
        <v>3.2599999999999997E-2</v>
      </c>
      <c r="K34" s="595"/>
      <c r="L34" s="431"/>
      <c r="M34" s="595"/>
      <c r="N34" s="595"/>
    </row>
    <row r="35" spans="1:14" s="303" customFormat="1">
      <c r="B35" s="353" t="s">
        <v>706</v>
      </c>
      <c r="C35" s="353"/>
      <c r="D35" s="353"/>
      <c r="E35" s="595" t="s">
        <v>705</v>
      </c>
      <c r="F35" s="625">
        <f>INDEX(Data!$O$63:$U$91,MATCH('RFPR cover'!$C$7,Data!$B$63:$B$91,0),MATCH('R7 - RAV'!F$6,Data!$O$62:$U$62,0))</f>
        <v>5.2833944000000001E-2</v>
      </c>
      <c r="G35" s="625">
        <f>INDEX(Data!$O$63:$U$91,MATCH('RFPR cover'!$C$7,Data!$B$63:$B$91,0),MATCH('R7 - RAV'!G$6,Data!$O$62:$U$62,0))</f>
        <v>5.5875458000000003E-2</v>
      </c>
      <c r="H35" s="625">
        <f>INDEX(Data!$O$63:$U$91,MATCH('RFPR cover'!$C$7,Data!$B$63:$B$91,0),MATCH('R7 - RAV'!H$6,Data!$O$62:$U$62,0))</f>
        <v>5.5175427000000006E-2</v>
      </c>
      <c r="I35" s="625">
        <f>INDEX(Data!$O$63:$U$91,MATCH('RFPR cover'!$C$7,Data!$B$63:$B$91,0),MATCH('R7 - RAV'!I$6,Data!$O$62:$U$62,0))</f>
        <v>5.5320261000000003E-2</v>
      </c>
      <c r="J35" s="625">
        <f>INDEX(Data!$O$63:$U$91,MATCH('RFPR cover'!$C$7,Data!$B$63:$B$91,0),MATCH('R7 - RAV'!J$6,Data!$O$62:$U$62,0))</f>
        <v>5.5489234000000012E-2</v>
      </c>
      <c r="K35" s="595"/>
      <c r="L35" s="431"/>
      <c r="M35" s="595"/>
      <c r="N35" s="595"/>
    </row>
    <row r="36" spans="1:14">
      <c r="A36" s="303"/>
      <c r="B36" s="353" t="s">
        <v>707</v>
      </c>
      <c r="C36" s="353"/>
      <c r="D36" s="353"/>
      <c r="E36" s="595" t="s">
        <v>486</v>
      </c>
      <c r="F36" s="626">
        <f t="shared" ref="F36:J36" si="6">Notional_Gearing</f>
        <v>0.6</v>
      </c>
      <c r="G36" s="626">
        <f t="shared" si="6"/>
        <v>0.6</v>
      </c>
      <c r="H36" s="626">
        <f t="shared" si="6"/>
        <v>0.6</v>
      </c>
      <c r="I36" s="626">
        <f t="shared" si="6"/>
        <v>0.6</v>
      </c>
      <c r="J36" s="626">
        <f t="shared" si="6"/>
        <v>0.6</v>
      </c>
      <c r="K36" s="595"/>
      <c r="L36" s="431"/>
      <c r="M36" s="595"/>
      <c r="N36" s="595"/>
    </row>
    <row r="37" spans="1:14">
      <c r="B37" s="103" t="s">
        <v>708</v>
      </c>
      <c r="E37" s="595" t="s">
        <v>705</v>
      </c>
      <c r="F37" s="627">
        <f t="shared" ref="F37:J37" si="7">F34*F36+F35*(1-F36)</f>
        <v>3.97335776E-2</v>
      </c>
      <c r="G37" s="628">
        <f t="shared" si="7"/>
        <v>4.1370183200000001E-2</v>
      </c>
      <c r="H37" s="628">
        <f t="shared" si="7"/>
        <v>4.1450170800000005E-2</v>
      </c>
      <c r="I37" s="628">
        <f t="shared" si="7"/>
        <v>4.15681044E-2</v>
      </c>
      <c r="J37" s="628">
        <f t="shared" si="7"/>
        <v>4.1755693600000005E-2</v>
      </c>
      <c r="K37" s="595"/>
      <c r="L37" s="431"/>
      <c r="M37" s="595"/>
      <c r="N37" s="595"/>
    </row>
    <row r="38" spans="1:14" s="303" customFormat="1">
      <c r="A38" s="103"/>
      <c r="B38" s="103"/>
      <c r="C38" s="103"/>
      <c r="D38" s="103"/>
      <c r="E38" s="609"/>
      <c r="F38" s="610"/>
      <c r="G38" s="610"/>
      <c r="H38" s="610"/>
      <c r="I38" s="610"/>
      <c r="J38" s="610"/>
      <c r="K38" s="595"/>
      <c r="L38" s="431"/>
      <c r="M38" s="595"/>
      <c r="N38" s="595"/>
    </row>
    <row r="39" spans="1:14" s="303" customFormat="1">
      <c r="A39" s="103"/>
      <c r="B39" s="79" t="s">
        <v>709</v>
      </c>
      <c r="C39" s="79"/>
      <c r="D39" s="79"/>
      <c r="E39" s="595" t="str">
        <f>Data!$C$9</f>
        <v>£m 20/21</v>
      </c>
      <c r="F39" s="18">
        <f>F41*F36</f>
        <v>1306.8198763652636</v>
      </c>
      <c r="G39" s="19">
        <f t="shared" ref="G39:J39" si="8">G41*G36</f>
        <v>1350.6469059696576</v>
      </c>
      <c r="H39" s="19">
        <f t="shared" si="8"/>
        <v>1412.3753889546924</v>
      </c>
      <c r="I39" s="19">
        <f t="shared" si="8"/>
        <v>1465.9609141995595</v>
      </c>
      <c r="J39" s="19">
        <f t="shared" si="8"/>
        <v>1517.709886827854</v>
      </c>
      <c r="K39" s="595"/>
      <c r="L39" s="431"/>
      <c r="M39" s="595"/>
      <c r="N39" s="595"/>
    </row>
    <row r="40" spans="1:14" s="303" customFormat="1">
      <c r="A40" s="103"/>
      <c r="B40" s="79" t="s">
        <v>710</v>
      </c>
      <c r="C40" s="79"/>
      <c r="D40" s="79"/>
      <c r="E40" s="595" t="str">
        <f>Data!$C$9</f>
        <v>£m 20/21</v>
      </c>
      <c r="F40" s="65">
        <f>F41*(1-F36)</f>
        <v>871.2132509101757</v>
      </c>
      <c r="G40" s="66">
        <f t="shared" ref="G40:J40" si="9">G41*(1-G36)</f>
        <v>900.43127064643852</v>
      </c>
      <c r="H40" s="66">
        <f t="shared" si="9"/>
        <v>941.58359263646162</v>
      </c>
      <c r="I40" s="66">
        <f t="shared" si="9"/>
        <v>977.30727613303975</v>
      </c>
      <c r="J40" s="66">
        <f t="shared" si="9"/>
        <v>1011.8065912185693</v>
      </c>
      <c r="K40" s="595"/>
      <c r="L40" s="431"/>
      <c r="M40" s="595"/>
      <c r="N40" s="595"/>
    </row>
    <row r="41" spans="1:14" s="303" customFormat="1">
      <c r="A41" s="103"/>
      <c r="B41" s="103" t="s">
        <v>711</v>
      </c>
      <c r="C41" s="103"/>
      <c r="D41" s="103"/>
      <c r="E41" s="595" t="str">
        <f>Data!$C$9</f>
        <v>£m 20/21</v>
      </c>
      <c r="F41" s="21">
        <f>AVERAGE(F17,F24*(1/(1+F37)))</f>
        <v>2178.0331272754393</v>
      </c>
      <c r="G41" s="21">
        <f t="shared" ref="G41:J41" si="10">AVERAGE(G17,G24*(1/(1+G37)))</f>
        <v>2251.0781766160962</v>
      </c>
      <c r="H41" s="21">
        <f t="shared" si="10"/>
        <v>2353.958981591154</v>
      </c>
      <c r="I41" s="21">
        <f t="shared" si="10"/>
        <v>2443.2681903325993</v>
      </c>
      <c r="J41" s="21">
        <f t="shared" si="10"/>
        <v>2529.5164780464233</v>
      </c>
      <c r="K41" s="595"/>
      <c r="L41" s="431"/>
      <c r="M41" s="595"/>
      <c r="N41" s="595"/>
    </row>
    <row r="42" spans="1:14" s="303" customFormat="1">
      <c r="A42" s="103"/>
      <c r="B42" s="103"/>
      <c r="C42" s="103"/>
      <c r="D42" s="103"/>
      <c r="E42" s="595"/>
      <c r="F42" s="595"/>
      <c r="G42" s="595"/>
      <c r="H42" s="595"/>
      <c r="I42" s="595"/>
      <c r="J42" s="595"/>
      <c r="K42" s="595"/>
      <c r="L42" s="431"/>
      <c r="M42" s="595"/>
      <c r="N42" s="595"/>
    </row>
    <row r="43" spans="1:14" s="303" customFormat="1">
      <c r="A43" s="103"/>
      <c r="B43" s="79" t="s">
        <v>712</v>
      </c>
      <c r="C43" s="79"/>
      <c r="D43" s="79"/>
      <c r="E43" s="595" t="str">
        <f>Data!$C$9</f>
        <v>£m 20/21</v>
      </c>
      <c r="F43" s="142">
        <f>F34*F39</f>
        <v>40.511416167323169</v>
      </c>
      <c r="G43" s="143">
        <f t="shared" ref="G43:J44" si="11">G34*G39</f>
        <v>42.815506919238146</v>
      </c>
      <c r="H43" s="143">
        <f t="shared" si="11"/>
        <v>45.619725063236565</v>
      </c>
      <c r="I43" s="143">
        <f t="shared" si="11"/>
        <v>47.497133620065725</v>
      </c>
      <c r="J43" s="143">
        <f t="shared" si="11"/>
        <v>49.477342310588035</v>
      </c>
      <c r="K43" s="595"/>
      <c r="L43" s="431"/>
      <c r="M43" s="595"/>
      <c r="N43" s="595"/>
    </row>
    <row r="44" spans="1:14">
      <c r="B44" s="79" t="s">
        <v>713</v>
      </c>
      <c r="C44" s="79"/>
      <c r="D44" s="79"/>
      <c r="E44" s="595" t="str">
        <f>Data!$C$9</f>
        <v>£m 20/21</v>
      </c>
      <c r="F44" s="15">
        <f>F35*F40</f>
        <v>46.029632110646176</v>
      </c>
      <c r="G44" s="16">
        <f t="shared" si="11"/>
        <v>50.31200964489171</v>
      </c>
      <c r="H44" s="16">
        <f t="shared" si="11"/>
        <v>51.952276779910832</v>
      </c>
      <c r="I44" s="16">
        <f t="shared" si="11"/>
        <v>54.064893592878832</v>
      </c>
      <c r="J44" s="16">
        <f t="shared" si="11"/>
        <v>56.144372702869553</v>
      </c>
      <c r="K44" s="595"/>
      <c r="L44" s="431"/>
      <c r="M44" s="595"/>
      <c r="N44" s="595"/>
    </row>
    <row r="45" spans="1:14">
      <c r="B45" s="103" t="s">
        <v>714</v>
      </c>
      <c r="E45" s="595" t="str">
        <f>Data!$C$9</f>
        <v>£m 20/21</v>
      </c>
      <c r="F45" s="21">
        <f>SUM(F43:F44)</f>
        <v>86.541048277969338</v>
      </c>
      <c r="G45" s="22">
        <f t="shared" ref="G45:J45" si="12">SUM(G43:G44)</f>
        <v>93.127516564129849</v>
      </c>
      <c r="H45" s="22">
        <f t="shared" si="12"/>
        <v>97.572001843147405</v>
      </c>
      <c r="I45" s="22">
        <f t="shared" si="12"/>
        <v>101.56202721294456</v>
      </c>
      <c r="J45" s="22">
        <f t="shared" si="12"/>
        <v>105.62171501345759</v>
      </c>
      <c r="K45" s="595"/>
      <c r="L45" s="431"/>
      <c r="M45" s="595"/>
      <c r="N45" s="595"/>
    </row>
    <row r="46" spans="1:14">
      <c r="K46" s="595"/>
      <c r="L46" s="431"/>
      <c r="M46" s="595"/>
      <c r="N46" s="595"/>
    </row>
    <row r="47" spans="1:14">
      <c r="B47" s="79"/>
      <c r="C47" s="79"/>
      <c r="D47" s="79"/>
      <c r="E47" s="29"/>
      <c r="F47" s="533"/>
      <c r="G47" s="533"/>
      <c r="H47" s="533"/>
      <c r="I47" s="533"/>
      <c r="J47" s="533"/>
      <c r="K47" s="595"/>
      <c r="L47" s="431"/>
      <c r="M47" s="595"/>
      <c r="N47" s="595"/>
    </row>
    <row r="48" spans="1:14">
      <c r="B48" s="79"/>
      <c r="C48" s="79"/>
      <c r="D48" s="79"/>
      <c r="E48" s="29"/>
      <c r="F48" s="533"/>
      <c r="G48" s="533"/>
      <c r="H48" s="533"/>
      <c r="I48" s="533"/>
      <c r="J48" s="533"/>
      <c r="K48" s="595"/>
      <c r="L48" s="431"/>
      <c r="M48" s="595"/>
      <c r="N48" s="595"/>
    </row>
    <row r="49" spans="2:14">
      <c r="E49" s="29"/>
      <c r="F49" s="611"/>
      <c r="G49" s="611"/>
      <c r="H49" s="611"/>
      <c r="I49" s="611"/>
      <c r="J49" s="611"/>
      <c r="K49" s="595"/>
      <c r="L49" s="431"/>
      <c r="M49" s="595"/>
      <c r="N49" s="595"/>
    </row>
    <row r="50" spans="2:14">
      <c r="E50" s="595"/>
      <c r="F50" s="595"/>
      <c r="G50" s="595"/>
      <c r="H50" s="595"/>
      <c r="I50" s="595"/>
      <c r="J50" s="595"/>
      <c r="K50" s="595"/>
      <c r="L50" s="431"/>
      <c r="M50" s="595"/>
      <c r="N50" s="595"/>
    </row>
    <row r="54" spans="2:14">
      <c r="E54" s="103"/>
      <c r="M54" s="103"/>
    </row>
    <row r="55" spans="2:14">
      <c r="E55" s="103"/>
      <c r="M55" s="103"/>
    </row>
    <row r="56" spans="2:14">
      <c r="B56" s="79"/>
      <c r="C56" s="79"/>
      <c r="D56" s="79"/>
      <c r="E56" s="29"/>
      <c r="F56" s="533"/>
      <c r="G56" s="533"/>
      <c r="H56" s="533"/>
      <c r="I56" s="533"/>
      <c r="J56" s="533"/>
      <c r="K56" s="393"/>
    </row>
    <row r="57" spans="2:14">
      <c r="B57" s="79"/>
      <c r="C57" s="79"/>
      <c r="D57" s="79"/>
      <c r="E57" s="29"/>
      <c r="F57" s="611"/>
      <c r="G57" s="611"/>
      <c r="H57" s="611"/>
      <c r="I57" s="611"/>
      <c r="J57" s="611"/>
    </row>
    <row r="58" spans="2:14">
      <c r="E58" s="29"/>
      <c r="F58" s="533"/>
      <c r="G58" s="533"/>
      <c r="H58" s="533"/>
      <c r="I58" s="533"/>
      <c r="J58" s="533"/>
    </row>
    <row r="59" spans="2:14">
      <c r="B59" s="393"/>
      <c r="C59" s="393"/>
      <c r="D59" s="393"/>
      <c r="E59" s="40"/>
      <c r="F59" s="40"/>
      <c r="G59" s="40"/>
      <c r="H59" s="40"/>
      <c r="I59" s="40"/>
      <c r="J59" s="40"/>
    </row>
    <row r="60" spans="2:14">
      <c r="B60" s="393"/>
      <c r="C60" s="393"/>
      <c r="D60" s="393"/>
      <c r="E60" s="40"/>
      <c r="F60" s="40"/>
      <c r="G60" s="40"/>
      <c r="H60" s="40"/>
      <c r="I60" s="40"/>
      <c r="J60" s="40"/>
    </row>
    <row r="61" spans="2:14">
      <c r="B61" s="393"/>
      <c r="C61" s="393"/>
      <c r="D61" s="393"/>
      <c r="E61" s="40"/>
      <c r="F61" s="40"/>
      <c r="G61" s="40"/>
      <c r="H61" s="40"/>
      <c r="I61" s="40"/>
      <c r="J61" s="40"/>
    </row>
    <row r="64" spans="2:14">
      <c r="B64" s="393"/>
      <c r="C64" s="393"/>
      <c r="D64" s="393"/>
      <c r="E64" s="40"/>
      <c r="F64" s="40"/>
      <c r="G64" s="40"/>
      <c r="H64" s="40"/>
      <c r="I64" s="40"/>
      <c r="J64" s="40"/>
    </row>
  </sheetData>
  <sheetProtection insertRows="0" sort="0" autoFilter="0" pivotTables="0"/>
  <conditionalFormatting sqref="F5:J5 F6:I6">
    <cfRule type="expression" dxfId="29" priority="15">
      <formula>AND(F$5="Actuals",G$5="Forecast")</formula>
    </cfRule>
  </conditionalFormatting>
  <conditionalFormatting sqref="F7:J7">
    <cfRule type="expression" dxfId="28" priority="1">
      <formula>AND(F$5="Actuals",G$5="Forecast")</formula>
    </cfRule>
  </conditionalFormatting>
  <conditionalFormatting sqref="J6">
    <cfRule type="expression" dxfId="27" priority="256">
      <formula>AND(J$5="Actuals",#REF!="Forecast")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&amp;C_x000D_&amp;1#&amp;"Calibri"&amp;12&amp;K008000 Internal Use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70"/>
  <sheetViews>
    <sheetView zoomScaleNormal="100" workbookViewId="0"/>
  </sheetViews>
  <sheetFormatPr defaultColWidth="9" defaultRowHeight="12.75"/>
  <cols>
    <col min="1" max="1" width="8.375" style="103" customWidth="1"/>
    <col min="2" max="2" width="54.75" style="103" customWidth="1"/>
    <col min="3" max="3" width="1.75" style="103" customWidth="1"/>
    <col min="4" max="4" width="14.125" style="103" customWidth="1"/>
    <col min="5" max="9" width="11.125" style="103" customWidth="1"/>
    <col min="10" max="10" width="7.75" style="103" customWidth="1"/>
    <col min="11" max="16384" width="9" style="103"/>
  </cols>
  <sheetData>
    <row r="1" spans="1:20" ht="20.25">
      <c r="A1" s="288" t="s">
        <v>269</v>
      </c>
      <c r="B1" s="290"/>
      <c r="C1" s="290"/>
      <c r="D1" s="291"/>
      <c r="E1" s="291"/>
      <c r="F1" s="291"/>
      <c r="G1" s="291"/>
      <c r="H1" s="291"/>
      <c r="I1" s="291"/>
      <c r="J1" s="420"/>
    </row>
    <row r="2" spans="1:20" ht="20.25">
      <c r="A2" s="293" t="str">
        <f>Licensee</f>
        <v>SPMW</v>
      </c>
      <c r="B2" s="296"/>
      <c r="C2" s="296"/>
      <c r="D2" s="296"/>
      <c r="E2" s="296"/>
      <c r="F2" s="296"/>
      <c r="G2" s="296"/>
      <c r="H2" s="296"/>
      <c r="I2" s="296"/>
      <c r="J2" s="298"/>
    </row>
    <row r="3" spans="1:20" ht="20.25">
      <c r="A3" s="295">
        <f>Reporting_Year</f>
        <v>2024</v>
      </c>
      <c r="B3" s="299"/>
      <c r="C3" s="299"/>
      <c r="D3" s="299"/>
      <c r="E3" s="629"/>
      <c r="F3" s="629"/>
      <c r="G3" s="629"/>
      <c r="H3" s="629"/>
      <c r="I3" s="629"/>
      <c r="J3" s="301"/>
    </row>
    <row r="4" spans="1:20" ht="12.75" customHeight="1">
      <c r="A4" s="630"/>
      <c r="B4" s="631"/>
      <c r="C4" s="631"/>
      <c r="D4" s="630"/>
      <c r="E4" s="630"/>
      <c r="F4" s="630"/>
      <c r="G4" s="630"/>
      <c r="H4" s="630"/>
      <c r="I4" s="630"/>
      <c r="J4" s="630"/>
      <c r="K4" s="631"/>
    </row>
    <row r="5" spans="1:20" s="303" customFormat="1">
      <c r="B5" s="444"/>
      <c r="C5" s="444"/>
      <c r="D5" s="444"/>
      <c r="E5" s="302" t="str">
        <f>IF(E6+1&lt;=Reporting_Year,"Actuals","Forecast")</f>
        <v>Forecast</v>
      </c>
      <c r="F5" s="302" t="str">
        <f>IF(F6+1&lt;=Reporting_Year,"Actuals","Forecast")</f>
        <v>Forecast</v>
      </c>
      <c r="G5" s="302" t="str">
        <f>IF(G6+1&lt;=Reporting_Year,"Actuals","Forecast")</f>
        <v>Forecast</v>
      </c>
      <c r="H5" s="302" t="str">
        <f>IF(H6+1&lt;=Reporting_Year,"Actuals","Forecast")</f>
        <v>Forecast</v>
      </c>
      <c r="I5" s="302" t="str">
        <f>IF(I6+1&lt;=Reporting_Year,"Actuals","Forecast")</f>
        <v>Forecast</v>
      </c>
    </row>
    <row r="6" spans="1:20" s="303" customFormat="1">
      <c r="E6" s="421">
        <f>'RFPR cover'!$C$6</f>
        <v>2024</v>
      </c>
      <c r="F6" s="422">
        <f>E6+1</f>
        <v>2025</v>
      </c>
      <c r="G6" s="422">
        <f t="shared" ref="G6:I6" si="0">F6+1</f>
        <v>2026</v>
      </c>
      <c r="H6" s="422">
        <f t="shared" si="0"/>
        <v>2027</v>
      </c>
      <c r="I6" s="422">
        <f t="shared" si="0"/>
        <v>2028</v>
      </c>
    </row>
    <row r="7" spans="1:20" s="303" customFormat="1">
      <c r="E7" s="421" t="str">
        <f>RIIO_2_start_date-1&amp;"/"&amp;RIGHT(RIIO_2_start_date,2)</f>
        <v>2023/24</v>
      </c>
      <c r="F7" s="421" t="str">
        <f>RIIO_2_start_date&amp;"/"&amp;RIGHT(RIIO_2_start_date+1,2)</f>
        <v>2024/25</v>
      </c>
      <c r="G7" s="421" t="str">
        <f>RIIO_2_start_date+1&amp;"/"&amp;RIGHT(RIIO_2_start_date+2,2)</f>
        <v>2025/26</v>
      </c>
      <c r="H7" s="421" t="str">
        <f>RIIO_2_start_date+2&amp;"/"&amp;RIGHT(RIIO_2_start_date+3,2)</f>
        <v>2026/27</v>
      </c>
      <c r="I7" s="522" t="str">
        <f>RIIO_2_start_date+3&amp;"/"&amp;RIGHT(RIIO_2_start_date+4,2)</f>
        <v>2027/28</v>
      </c>
    </row>
    <row r="8" spans="1:20" s="303" customFormat="1">
      <c r="B8" s="632" t="s">
        <v>715</v>
      </c>
      <c r="C8" s="541"/>
      <c r="D8" s="542"/>
      <c r="E8" s="542"/>
      <c r="F8" s="542"/>
      <c r="G8" s="542"/>
      <c r="H8" s="542"/>
      <c r="I8" s="542"/>
    </row>
    <row r="9" spans="1:20" s="303" customFormat="1" ht="34.5" customHeight="1">
      <c r="B9" s="829" t="s">
        <v>716</v>
      </c>
      <c r="C9" s="829"/>
      <c r="D9" s="829"/>
      <c r="E9" s="829"/>
      <c r="F9" s="829"/>
      <c r="G9" s="829"/>
      <c r="H9" s="829"/>
      <c r="I9" s="829"/>
    </row>
    <row r="10" spans="1:20" s="303" customFormat="1">
      <c r="B10" s="594"/>
      <c r="C10" s="594"/>
    </row>
    <row r="11" spans="1:20" s="303" customFormat="1" ht="34.5" customHeight="1">
      <c r="B11" s="633" t="s">
        <v>717</v>
      </c>
      <c r="C11" s="393"/>
      <c r="D11" s="29" t="s">
        <v>507</v>
      </c>
      <c r="E11" s="634"/>
      <c r="F11" s="634"/>
      <c r="G11" s="634"/>
      <c r="H11" s="634"/>
      <c r="I11" s="634"/>
      <c r="J11" s="103"/>
    </row>
    <row r="12" spans="1:20" s="303" customFormat="1">
      <c r="B12" s="393"/>
      <c r="C12" s="393"/>
      <c r="D12" s="393"/>
      <c r="E12" s="393"/>
      <c r="F12" s="393"/>
      <c r="G12" s="393"/>
      <c r="H12" s="393"/>
      <c r="I12" s="393"/>
      <c r="J12" s="393"/>
      <c r="K12" s="393"/>
      <c r="L12" s="393"/>
      <c r="M12" s="393"/>
      <c r="N12" s="393"/>
      <c r="O12" s="393"/>
      <c r="P12" s="393"/>
      <c r="Q12" s="393"/>
      <c r="R12" s="393"/>
      <c r="S12" s="393"/>
      <c r="T12" s="393"/>
    </row>
    <row r="13" spans="1:20" s="303" customFormat="1">
      <c r="B13" s="393"/>
      <c r="C13" s="393"/>
      <c r="D13" s="393"/>
      <c r="E13" s="393"/>
      <c r="F13" s="393"/>
      <c r="G13" s="393"/>
      <c r="H13" s="393"/>
      <c r="I13" s="393"/>
      <c r="J13" s="393"/>
      <c r="K13" s="393"/>
      <c r="L13" s="393"/>
      <c r="M13" s="393"/>
      <c r="N13" s="393"/>
      <c r="O13" s="393"/>
      <c r="P13" s="393"/>
      <c r="Q13" s="393"/>
      <c r="R13" s="393"/>
      <c r="S13" s="393"/>
      <c r="T13" s="393"/>
    </row>
    <row r="14" spans="1:20" s="303" customFormat="1">
      <c r="B14" s="635"/>
      <c r="C14" s="393"/>
      <c r="D14" s="29"/>
      <c r="E14" s="636"/>
      <c r="F14" s="636"/>
      <c r="G14" s="636"/>
      <c r="H14" s="636"/>
      <c r="I14" s="636"/>
      <c r="J14" s="103"/>
    </row>
    <row r="15" spans="1:20">
      <c r="B15" s="393" t="s">
        <v>718</v>
      </c>
      <c r="C15" s="393"/>
      <c r="D15" s="29"/>
      <c r="E15" s="29"/>
      <c r="F15" s="29"/>
      <c r="G15" s="29"/>
      <c r="H15" s="29"/>
      <c r="I15" s="29"/>
      <c r="M15" s="303"/>
      <c r="N15" s="303"/>
    </row>
    <row r="16" spans="1:20">
      <c r="B16" s="526" t="s">
        <v>719</v>
      </c>
      <c r="C16" s="526"/>
      <c r="D16" s="29" t="s">
        <v>507</v>
      </c>
      <c r="E16" s="634"/>
      <c r="F16" s="634"/>
      <c r="G16" s="634"/>
      <c r="H16" s="634"/>
      <c r="I16" s="634"/>
      <c r="M16" s="303"/>
      <c r="N16" s="303"/>
    </row>
    <row r="17" spans="2:38">
      <c r="B17" s="526" t="s">
        <v>720</v>
      </c>
      <c r="C17" s="526"/>
      <c r="D17" s="29" t="s">
        <v>507</v>
      </c>
      <c r="E17" s="634"/>
      <c r="F17" s="634"/>
      <c r="G17" s="634"/>
      <c r="H17" s="634"/>
      <c r="I17" s="634"/>
      <c r="M17" s="303"/>
      <c r="N17" s="303"/>
    </row>
    <row r="18" spans="2:38">
      <c r="B18" s="526" t="s">
        <v>721</v>
      </c>
      <c r="C18" s="526"/>
      <c r="D18" s="29" t="s">
        <v>507</v>
      </c>
      <c r="E18" s="634"/>
      <c r="F18" s="634"/>
      <c r="G18" s="634"/>
      <c r="H18" s="634"/>
      <c r="I18" s="634"/>
      <c r="M18" s="303"/>
      <c r="N18" s="303"/>
    </row>
    <row r="19" spans="2:38">
      <c r="B19" s="526" t="s">
        <v>722</v>
      </c>
      <c r="C19" s="526"/>
      <c r="D19" s="29" t="s">
        <v>507</v>
      </c>
      <c r="E19" s="634"/>
      <c r="F19" s="634"/>
      <c r="G19" s="634"/>
      <c r="H19" s="634"/>
      <c r="I19" s="634"/>
      <c r="M19" s="303"/>
      <c r="N19" s="303"/>
    </row>
    <row r="20" spans="2:38">
      <c r="B20" s="637" t="s">
        <v>723</v>
      </c>
      <c r="C20" s="637"/>
      <c r="D20" s="29" t="s">
        <v>507</v>
      </c>
      <c r="E20" s="514">
        <f>SUM(E16:E19)</f>
        <v>0</v>
      </c>
      <c r="F20" s="473">
        <f t="shared" ref="F20:I20" si="1">SUM(F16:F19)</f>
        <v>0</v>
      </c>
      <c r="G20" s="473">
        <f t="shared" si="1"/>
        <v>0</v>
      </c>
      <c r="H20" s="473">
        <f t="shared" si="1"/>
        <v>0</v>
      </c>
      <c r="I20" s="473">
        <f t="shared" si="1"/>
        <v>0</v>
      </c>
      <c r="M20" s="303"/>
      <c r="N20" s="303"/>
    </row>
    <row r="21" spans="2:38">
      <c r="B21" s="526"/>
      <c r="C21" s="526"/>
      <c r="D21" s="526"/>
      <c r="E21" s="638"/>
      <c r="F21" s="638"/>
      <c r="G21" s="638"/>
      <c r="H21" s="638"/>
      <c r="I21" s="638"/>
    </row>
    <row r="22" spans="2:38">
      <c r="B22" s="393" t="s">
        <v>724</v>
      </c>
      <c r="C22" s="393"/>
      <c r="D22" s="29"/>
      <c r="E22" s="29"/>
      <c r="F22" s="232"/>
      <c r="G22" s="232"/>
      <c r="H22" s="232"/>
      <c r="I22" s="232"/>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row>
    <row r="23" spans="2:38">
      <c r="B23" s="526" t="s">
        <v>725</v>
      </c>
      <c r="C23" s="639"/>
      <c r="D23" s="29" t="s">
        <v>507</v>
      </c>
      <c r="E23" s="644">
        <f>IF(E5="Actuals",('R4 - Incentives and Other Rev'!D71+'R4 - Incentives and Other Rev'!D45+'R4 - Incentives and Other Rev'!D52+'R4 - Incentives and Other Rev'!D59)/(1-INDEX(Corporate_Tax,MATCH(E$6,Data!$C$18:$N$18,0)))*INDEX(Corporate_Tax,MATCH(E$6,Data!$C$18:$N$18,0)),0)*E38</f>
        <v>0</v>
      </c>
      <c r="F23" s="644">
        <f>IF(F5="Actuals",('R4 - Incentives and Other Rev'!E71+'R4 - Incentives and Other Rev'!E45+'R4 - Incentives and Other Rev'!E52+'R4 - Incentives and Other Rev'!E59)/(1-INDEX(Corporate_Tax,MATCH(F$6,Data!$C$18:$N$18,0)))*INDEX(Corporate_Tax,MATCH(F$6,Data!$C$18:$N$18,0)),0)*F38</f>
        <v>0</v>
      </c>
      <c r="G23" s="644">
        <f>IF(G5="Actuals",('R4 - Incentives and Other Rev'!F71+'R4 - Incentives and Other Rev'!F45+'R4 - Incentives and Other Rev'!F52+'R4 - Incentives and Other Rev'!F59)/(1-INDEX(Corporate_Tax,MATCH(G$6,Data!$C$18:$N$18,0)))*INDEX(Corporate_Tax,MATCH(G$6,Data!$C$18:$N$18,0)),0)*G38</f>
        <v>0</v>
      </c>
      <c r="H23" s="644">
        <f>IF(H5="Actuals",('R4 - Incentives and Other Rev'!G71+'R4 - Incentives and Other Rev'!G45+'R4 - Incentives and Other Rev'!G52+'R4 - Incentives and Other Rev'!G59)/(1-INDEX(Corporate_Tax,MATCH(H$6,Data!$C$18:$N$18,0)))*INDEX(Corporate_Tax,MATCH(H$6,Data!$C$18:$N$18,0)),0)*H38</f>
        <v>0</v>
      </c>
      <c r="I23" s="644">
        <f>IF(I5="Actuals",('R4 - Incentives and Other Rev'!H71+'R4 - Incentives and Other Rev'!H45+'R4 - Incentives and Other Rev'!H52+'R4 - Incentives and Other Rev'!H59)/(1-INDEX(Corporate_Tax,MATCH(I$6,Data!$C$18:$N$18,0)))*INDEX(Corporate_Tax,MATCH(I$6,Data!$C$18:$N$18,0)),0)*I38</f>
        <v>0</v>
      </c>
      <c r="L23" s="526"/>
      <c r="M23" s="526"/>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c r="AK23" s="526"/>
      <c r="AL23" s="526"/>
    </row>
    <row r="24" spans="2:38">
      <c r="B24" s="526" t="s">
        <v>726</v>
      </c>
      <c r="C24" s="526"/>
      <c r="D24" s="29" t="s">
        <v>507</v>
      </c>
      <c r="E24" s="634"/>
      <c r="F24" s="634"/>
      <c r="G24" s="634"/>
      <c r="H24" s="634"/>
      <c r="I24" s="634"/>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26"/>
    </row>
    <row r="25" spans="2:38">
      <c r="B25" s="526" t="s">
        <v>727</v>
      </c>
      <c r="C25" s="526"/>
      <c r="D25" s="29" t="s">
        <v>507</v>
      </c>
      <c r="E25" s="634"/>
      <c r="F25" s="634"/>
      <c r="G25" s="634"/>
      <c r="H25" s="634"/>
      <c r="I25" s="634"/>
    </row>
    <row r="26" spans="2:38">
      <c r="B26" s="526" t="s">
        <v>728</v>
      </c>
      <c r="C26" s="526"/>
      <c r="D26" s="29" t="s">
        <v>507</v>
      </c>
      <c r="E26" s="634"/>
      <c r="F26" s="634"/>
      <c r="G26" s="634"/>
      <c r="H26" s="634"/>
      <c r="I26" s="634"/>
    </row>
    <row r="27" spans="2:38">
      <c r="B27" s="526" t="s">
        <v>729</v>
      </c>
      <c r="C27" s="526"/>
      <c r="D27" s="29" t="s">
        <v>507</v>
      </c>
      <c r="E27" s="634"/>
      <c r="F27" s="634"/>
      <c r="G27" s="634"/>
      <c r="H27" s="634"/>
      <c r="I27" s="634"/>
    </row>
    <row r="28" spans="2:38">
      <c r="B28" s="526" t="s">
        <v>730</v>
      </c>
      <c r="C28" s="526"/>
      <c r="D28" s="29" t="s">
        <v>507</v>
      </c>
      <c r="E28" s="634"/>
      <c r="F28" s="634"/>
      <c r="G28" s="634"/>
      <c r="H28" s="634"/>
      <c r="I28" s="634"/>
    </row>
    <row r="29" spans="2:38">
      <c r="B29" s="526" t="s">
        <v>730</v>
      </c>
      <c r="C29" s="526"/>
      <c r="D29" s="29" t="s">
        <v>507</v>
      </c>
      <c r="E29" s="634"/>
      <c r="F29" s="634"/>
      <c r="G29" s="634"/>
      <c r="H29" s="634"/>
      <c r="I29" s="634"/>
    </row>
    <row r="30" spans="2:38">
      <c r="B30" s="526" t="s">
        <v>730</v>
      </c>
      <c r="C30" s="526"/>
      <c r="D30" s="29" t="s">
        <v>507</v>
      </c>
      <c r="E30" s="634"/>
      <c r="F30" s="634"/>
      <c r="G30" s="634"/>
      <c r="H30" s="634"/>
      <c r="I30" s="634"/>
    </row>
    <row r="31" spans="2:38">
      <c r="B31" s="526" t="s">
        <v>730</v>
      </c>
      <c r="C31" s="526"/>
      <c r="D31" s="29" t="s">
        <v>507</v>
      </c>
      <c r="E31" s="634"/>
      <c r="F31" s="634"/>
      <c r="G31" s="634"/>
      <c r="H31" s="634"/>
      <c r="I31" s="634"/>
    </row>
    <row r="32" spans="2:38">
      <c r="B32" s="526" t="s">
        <v>731</v>
      </c>
      <c r="C32" s="526"/>
      <c r="D32" s="29" t="s">
        <v>507</v>
      </c>
      <c r="E32" s="634"/>
      <c r="F32" s="634"/>
      <c r="G32" s="634"/>
      <c r="H32" s="634"/>
      <c r="I32" s="634"/>
    </row>
    <row r="33" spans="2:11">
      <c r="B33" s="393" t="s">
        <v>520</v>
      </c>
      <c r="C33" s="393"/>
      <c r="D33" s="29" t="s">
        <v>507</v>
      </c>
      <c r="E33" s="644">
        <f>SUM(E23:E32)</f>
        <v>0</v>
      </c>
      <c r="F33" s="645">
        <f>SUM(F23:F32)</f>
        <v>0</v>
      </c>
      <c r="G33" s="645">
        <f>SUM(G23:G32)</f>
        <v>0</v>
      </c>
      <c r="H33" s="645">
        <f>SUM(H23:H32)</f>
        <v>0</v>
      </c>
      <c r="I33" s="645">
        <f>SUM(I23:I32)</f>
        <v>0</v>
      </c>
    </row>
    <row r="35" spans="2:11" ht="25.5" customHeight="1">
      <c r="B35" s="564" t="s">
        <v>732</v>
      </c>
      <c r="D35" s="29" t="s">
        <v>507</v>
      </c>
      <c r="E35" s="634">
        <v>6.1171878275940372</v>
      </c>
      <c r="F35" s="634">
        <v>0</v>
      </c>
      <c r="G35" s="634">
        <v>1.173884425535924</v>
      </c>
      <c r="H35" s="634">
        <v>3.0189478397371232</v>
      </c>
      <c r="I35" s="634">
        <v>1.1997597877320061</v>
      </c>
    </row>
    <row r="36" spans="2:11" ht="12.75" customHeight="1">
      <c r="B36" s="564" t="s">
        <v>733</v>
      </c>
      <c r="C36" s="564"/>
      <c r="D36" s="29" t="s">
        <v>507</v>
      </c>
      <c r="E36" s="644">
        <f>IF(ISNUMBER(E11),E11-E20-E33,E35-E20-E33)</f>
        <v>6.1171878275940372</v>
      </c>
      <c r="F36" s="644">
        <f t="shared" ref="F36:I36" si="2">IF(ISNUMBER(F11),F11-F20-F33,F35-F20-F33)</f>
        <v>0</v>
      </c>
      <c r="G36" s="644">
        <f t="shared" si="2"/>
        <v>1.173884425535924</v>
      </c>
      <c r="H36" s="644">
        <f t="shared" si="2"/>
        <v>3.0189478397371232</v>
      </c>
      <c r="I36" s="644">
        <f t="shared" si="2"/>
        <v>1.1997597877320061</v>
      </c>
    </row>
    <row r="37" spans="2:11" ht="12.75" customHeight="1">
      <c r="B37" s="527"/>
      <c r="C37" s="527"/>
      <c r="D37" s="29"/>
      <c r="E37" s="636"/>
      <c r="F37" s="636"/>
      <c r="G37" s="636"/>
      <c r="H37" s="636"/>
      <c r="I37" s="636"/>
    </row>
    <row r="38" spans="2:11">
      <c r="B38" s="103" t="s">
        <v>634</v>
      </c>
      <c r="D38" s="124" t="s">
        <v>635</v>
      </c>
      <c r="E38" s="646">
        <f t="shared" ref="E38:I38" si="3">INDEX(real_to_nominal_CF,MATCH(E$6,calendar_year,0))</f>
        <v>1.2806226704273584</v>
      </c>
      <c r="F38" s="646">
        <f t="shared" si="3"/>
        <v>1.3166427517353263</v>
      </c>
      <c r="G38" s="646">
        <f t="shared" si="3"/>
        <v>1.3372044808664936</v>
      </c>
      <c r="H38" s="646">
        <f t="shared" si="3"/>
        <v>1.3601375551943939</v>
      </c>
      <c r="I38" s="646">
        <f t="shared" si="3"/>
        <v>1.3864986444601943</v>
      </c>
    </row>
    <row r="39" spans="2:11">
      <c r="B39" s="527"/>
      <c r="C39" s="527"/>
      <c r="D39" s="29"/>
      <c r="E39" s="29"/>
      <c r="F39" s="29"/>
      <c r="G39" s="29"/>
      <c r="H39" s="29"/>
      <c r="I39" s="29"/>
    </row>
    <row r="40" spans="2:11">
      <c r="B40" s="564" t="s">
        <v>734</v>
      </c>
      <c r="C40" s="564"/>
      <c r="D40" s="595" t="str">
        <f>Data!$C$9</f>
        <v>£m 20/21</v>
      </c>
      <c r="E40" s="644">
        <f>Adjusted_regulated_tax_liability/E38</f>
        <v>4.7767292965012569</v>
      </c>
      <c r="F40" s="644">
        <f>Adjusted_regulated_tax_liability/F38</f>
        <v>0</v>
      </c>
      <c r="G40" s="644">
        <f>Adjusted_regulated_tax_liability/G38</f>
        <v>0.87786456172750782</v>
      </c>
      <c r="H40" s="644">
        <f>Adjusted_regulated_tax_liability/H38</f>
        <v>2.2195900908755131</v>
      </c>
      <c r="I40" s="644">
        <f>Adjusted_regulated_tax_liability/I38</f>
        <v>0.86531623563116333</v>
      </c>
    </row>
    <row r="41" spans="2:11">
      <c r="B41" s="564"/>
      <c r="C41" s="564"/>
      <c r="D41" s="564"/>
      <c r="E41" s="564"/>
      <c r="F41" s="564"/>
      <c r="G41" s="564"/>
      <c r="H41" s="564"/>
      <c r="I41" s="564"/>
    </row>
    <row r="42" spans="2:11">
      <c r="B42" s="540" t="s">
        <v>735</v>
      </c>
      <c r="C42" s="540"/>
      <c r="D42" s="595"/>
      <c r="E42" s="595"/>
      <c r="F42" s="595"/>
      <c r="G42" s="595"/>
      <c r="H42" s="595"/>
      <c r="I42" s="595"/>
    </row>
    <row r="43" spans="2:11">
      <c r="B43" s="541" t="s">
        <v>640</v>
      </c>
      <c r="C43" s="541"/>
      <c r="D43" s="564"/>
      <c r="E43" s="564"/>
      <c r="F43" s="564"/>
      <c r="G43" s="564"/>
      <c r="H43" s="564"/>
      <c r="I43" s="564"/>
      <c r="K43" s="564"/>
    </row>
    <row r="44" spans="2:11">
      <c r="K44" s="564"/>
    </row>
    <row r="45" spans="2:11" ht="12.75" customHeight="1">
      <c r="B45" s="79" t="s">
        <v>24</v>
      </c>
      <c r="C45" s="79"/>
      <c r="D45" s="432" t="s">
        <v>486</v>
      </c>
      <c r="E45" s="93">
        <f>Data!$C$8</f>
        <v>0.6</v>
      </c>
      <c r="F45" s="94">
        <f>Data!$C$8</f>
        <v>0.6</v>
      </c>
      <c r="G45" s="94">
        <f>Data!$C$8</f>
        <v>0.6</v>
      </c>
      <c r="H45" s="94">
        <f>Data!$C$8</f>
        <v>0.6</v>
      </c>
      <c r="I45" s="94">
        <f>Data!$C$8</f>
        <v>0.6</v>
      </c>
      <c r="K45" s="564"/>
    </row>
    <row r="46" spans="2:11" ht="12.75" customHeight="1">
      <c r="B46" s="79" t="s">
        <v>641</v>
      </c>
      <c r="C46" s="79"/>
      <c r="D46" s="432" t="s">
        <v>486</v>
      </c>
      <c r="E46" s="94">
        <f>'R6 - Net Debt'!D68</f>
        <v>0.58193751896717805</v>
      </c>
      <c r="F46" s="94">
        <f>'R6 - Net Debt'!E68</f>
        <v>0.60646653429806385</v>
      </c>
      <c r="G46" s="94">
        <f>'R6 - Net Debt'!F68</f>
        <v>0.59732396268669896</v>
      </c>
      <c r="H46" s="94">
        <f>'R6 - Net Debt'!G68</f>
        <v>0.60032013777399829</v>
      </c>
      <c r="I46" s="94">
        <f>'R6 - Net Debt'!H68</f>
        <v>0.60043681474814137</v>
      </c>
      <c r="K46" s="564"/>
    </row>
    <row r="47" spans="2:11" ht="12.75" customHeight="1">
      <c r="B47" s="79"/>
      <c r="C47" s="79"/>
      <c r="D47" s="432"/>
      <c r="E47" s="432"/>
      <c r="F47" s="432"/>
      <c r="G47" s="432"/>
      <c r="H47" s="432"/>
      <c r="I47" s="432"/>
      <c r="K47" s="564"/>
    </row>
    <row r="48" spans="2:11" ht="12.75" customHeight="1">
      <c r="B48" s="564" t="s">
        <v>734</v>
      </c>
      <c r="C48" s="564"/>
      <c r="D48" s="29" t="s">
        <v>507</v>
      </c>
      <c r="E48" s="644">
        <f>E36</f>
        <v>6.1171878275940372</v>
      </c>
      <c r="F48" s="644">
        <f>F36</f>
        <v>0</v>
      </c>
      <c r="G48" s="644">
        <f>G36</f>
        <v>1.173884425535924</v>
      </c>
      <c r="H48" s="644">
        <f>H36</f>
        <v>3.0189478397371232</v>
      </c>
      <c r="I48" s="644">
        <f>I36</f>
        <v>1.1997597877320061</v>
      </c>
      <c r="K48" s="564"/>
    </row>
    <row r="49" spans="2:11">
      <c r="B49" s="79" t="s">
        <v>736</v>
      </c>
      <c r="C49" s="79"/>
      <c r="D49" s="29" t="s">
        <v>507</v>
      </c>
      <c r="E49" s="644">
        <f>E66-E68</f>
        <v>0.2166371384956669</v>
      </c>
      <c r="F49" s="644">
        <f>F66-F68</f>
        <v>0.13034988801882341</v>
      </c>
      <c r="G49" s="644">
        <f>G66-G68</f>
        <v>-7.6241788050825487E-2</v>
      </c>
      <c r="H49" s="644">
        <f>H66-H68</f>
        <v>8.4316212083338504E-3</v>
      </c>
      <c r="I49" s="644">
        <f>I66-I68</f>
        <v>1.0039930407556685E-2</v>
      </c>
      <c r="K49" s="564"/>
    </row>
    <row r="50" spans="2:11">
      <c r="B50" s="79" t="s">
        <v>737</v>
      </c>
      <c r="C50" s="79"/>
      <c r="D50" s="29" t="s">
        <v>507</v>
      </c>
      <c r="E50" s="644">
        <f>SUM(E48:E49)</f>
        <v>6.3338249660897041</v>
      </c>
      <c r="F50" s="644">
        <f>SUM(F48:F49)</f>
        <v>0.13034988801882341</v>
      </c>
      <c r="G50" s="644">
        <f>SUM(G48:G49)</f>
        <v>1.0976426374850985</v>
      </c>
      <c r="H50" s="644">
        <f>SUM(H48:H49)</f>
        <v>3.0273794609454572</v>
      </c>
      <c r="I50" s="644">
        <f>SUM(I48:I49)</f>
        <v>1.2097997181395628</v>
      </c>
    </row>
    <row r="52" spans="2:11">
      <c r="B52" s="79" t="s">
        <v>737</v>
      </c>
      <c r="C52" s="79"/>
      <c r="D52" s="595" t="str">
        <f>Data!$C$9</f>
        <v>£m 20/21</v>
      </c>
      <c r="E52" s="644">
        <f>E50/E38</f>
        <v>4.9458947685004153</v>
      </c>
      <c r="F52" s="644">
        <f>F50/F38</f>
        <v>9.9001713142781625E-2</v>
      </c>
      <c r="G52" s="644">
        <f>G50/G38</f>
        <v>0.82084875812997449</v>
      </c>
      <c r="H52" s="644">
        <f>H50/H38</f>
        <v>2.2257891853539604</v>
      </c>
      <c r="I52" s="644">
        <f>I50/I38</f>
        <v>0.87255744747631847</v>
      </c>
    </row>
    <row r="54" spans="2:11">
      <c r="B54" s="640" t="s">
        <v>738</v>
      </c>
      <c r="C54" s="640"/>
      <c r="D54" s="641"/>
      <c r="E54" s="641"/>
      <c r="F54" s="641"/>
      <c r="G54" s="641"/>
      <c r="H54" s="641"/>
      <c r="I54" s="641"/>
      <c r="K54" s="564"/>
    </row>
    <row r="55" spans="2:11" ht="12.6" customHeight="1">
      <c r="D55" s="595"/>
      <c r="E55" s="642"/>
      <c r="F55" s="642"/>
      <c r="G55" s="642"/>
      <c r="H55" s="642"/>
      <c r="I55" s="642"/>
    </row>
    <row r="56" spans="2:11">
      <c r="B56" s="103" t="s">
        <v>739</v>
      </c>
      <c r="D56" s="595" t="str">
        <f>Data!$C$9</f>
        <v>£m 20/21</v>
      </c>
      <c r="E56" s="602">
        <v>1.363019371618754</v>
      </c>
      <c r="F56" s="602">
        <v>1.3949304005726653</v>
      </c>
      <c r="G56" s="602">
        <v>1.3956433015004164</v>
      </c>
      <c r="H56" s="602">
        <v>1.3942818225785454</v>
      </c>
      <c r="I56" s="602">
        <v>1.3902708300260367</v>
      </c>
    </row>
    <row r="57" spans="2:11">
      <c r="D57" s="595"/>
      <c r="E57" s="595"/>
      <c r="F57" s="595"/>
      <c r="G57" s="595"/>
      <c r="H57" s="595"/>
      <c r="I57" s="595"/>
    </row>
    <row r="58" spans="2:11">
      <c r="B58" s="550" t="s">
        <v>649</v>
      </c>
      <c r="C58" s="550"/>
      <c r="D58" s="550"/>
      <c r="E58" s="550"/>
      <c r="F58" s="550"/>
      <c r="G58" s="550"/>
      <c r="H58" s="550"/>
      <c r="I58" s="550"/>
    </row>
    <row r="60" spans="2:11">
      <c r="B60" s="393" t="s">
        <v>740</v>
      </c>
      <c r="C60" s="393"/>
      <c r="D60" s="643" t="str">
        <f>Data!$C$9</f>
        <v>£m 20/21</v>
      </c>
      <c r="E60" s="472">
        <f>E$56-E40</f>
        <v>-3.4137099248825029</v>
      </c>
      <c r="F60" s="472">
        <f>F$56-F40</f>
        <v>1.3949304005726653</v>
      </c>
      <c r="G60" s="472">
        <f>G$56-G40</f>
        <v>0.51777873977290856</v>
      </c>
      <c r="H60" s="472">
        <f>H$56-H40</f>
        <v>-0.82530826829696768</v>
      </c>
      <c r="I60" s="472">
        <f>I$56-I40</f>
        <v>0.52495459439487335</v>
      </c>
    </row>
    <row r="61" spans="2:11">
      <c r="B61" s="393"/>
      <c r="C61" s="393"/>
      <c r="D61" s="393"/>
      <c r="E61" s="393"/>
      <c r="F61" s="393"/>
      <c r="G61" s="393"/>
      <c r="H61" s="393"/>
      <c r="I61" s="393"/>
    </row>
    <row r="62" spans="2:11">
      <c r="B62" s="393" t="s">
        <v>741</v>
      </c>
      <c r="C62" s="393"/>
      <c r="D62" s="643" t="str">
        <f>Data!$C$9</f>
        <v>£m 20/21</v>
      </c>
      <c r="E62" s="472">
        <f>E$56-E52</f>
        <v>-3.5828753968816613</v>
      </c>
      <c r="F62" s="472">
        <f>F$56-F52</f>
        <v>1.2959286874298837</v>
      </c>
      <c r="G62" s="472">
        <f>G$56-G52</f>
        <v>0.57479454337044189</v>
      </c>
      <c r="H62" s="472">
        <f>H$56-H52</f>
        <v>-0.83150736277541504</v>
      </c>
      <c r="I62" s="472">
        <f>I$56-I52</f>
        <v>0.51771338254971822</v>
      </c>
    </row>
    <row r="64" spans="2:11">
      <c r="B64" s="393" t="s">
        <v>742</v>
      </c>
      <c r="C64" s="393"/>
      <c r="D64" s="643" t="str">
        <f>Data!$C$9</f>
        <v>£m 20/21</v>
      </c>
      <c r="E64" s="472">
        <f>E60-E62</f>
        <v>0.16916547199915843</v>
      </c>
      <c r="F64" s="513">
        <f>F60-F62</f>
        <v>9.9001713142781611E-2</v>
      </c>
      <c r="G64" s="513">
        <f>G60-G62</f>
        <v>-5.7015803597533332E-2</v>
      </c>
      <c r="H64" s="513">
        <f>H60-H62</f>
        <v>6.1990944784473534E-3</v>
      </c>
      <c r="I64" s="513">
        <f>I60-I62</f>
        <v>7.2412118451551377E-3</v>
      </c>
    </row>
    <row r="66" spans="2:9">
      <c r="B66" s="103" t="s">
        <v>743</v>
      </c>
      <c r="D66" s="29" t="s">
        <v>507</v>
      </c>
      <c r="E66" s="647">
        <f>-('R5 - Financing'!D83*INDEX(Corporate_Tax,MATCH(E$6,Data!$C$18:$N$18,0))*'R8 - Tax'!E$38)</f>
        <v>-19.949580874272534</v>
      </c>
      <c r="F66" s="647">
        <f>-('R5 - Financing'!E83*INDEX(Corporate_Tax,MATCH(F$6,Data!$C$18:$N$18,0))*'R8 - Tax'!F$38)</f>
        <v>-1.8682647486648638</v>
      </c>
      <c r="G66" s="647">
        <f>-('R5 - Financing'!F83*INDEX(Corporate_Tax,MATCH(G$6,Data!$C$18:$N$18,0))*'R8 - Tax'!G$38)</f>
        <v>1.7673659731853839</v>
      </c>
      <c r="H66" s="647">
        <f>-('R5 - Financing'!G83*INDEX(Corporate_Tax,MATCH(H$6,Data!$C$18:$N$18,0))*'R8 - Tax'!H$38)</f>
        <v>-0.33974107489117583</v>
      </c>
      <c r="I66" s="647">
        <f>-('R5 - Financing'!H83*INDEX(Corporate_Tax,MATCH(I$6,Data!$C$18:$N$18,0))*'R8 - Tax'!I$38)</f>
        <v>-3.3493795119322214</v>
      </c>
    </row>
    <row r="67" spans="2:9">
      <c r="B67" s="103" t="s">
        <v>743</v>
      </c>
      <c r="D67" s="595" t="str">
        <f>Data!$C$9</f>
        <v>£m 20/21</v>
      </c>
      <c r="E67" s="644">
        <f>E66/E$38</f>
        <v>-15.578031948798104</v>
      </c>
      <c r="F67" s="644">
        <f>F66/F$38</f>
        <v>-1.4189610250787492</v>
      </c>
      <c r="G67" s="644">
        <f>G66/G$38</f>
        <v>1.3216871454395296</v>
      </c>
      <c r="H67" s="644">
        <f>H66/H$38</f>
        <v>-0.24978434982086739</v>
      </c>
      <c r="I67" s="644">
        <f>I66/I$38</f>
        <v>-2.4157106285785339</v>
      </c>
    </row>
    <row r="68" spans="2:9">
      <c r="B68" s="103" t="s">
        <v>744</v>
      </c>
      <c r="D68" s="29" t="s">
        <v>507</v>
      </c>
      <c r="E68" s="647">
        <f>-('R5 - Financing'!D85*INDEX(Corporate_Tax,MATCH(E$6,Data!$C$18:$N$18,0))*'R8 - Tax'!E$38)</f>
        <v>-20.166218012768201</v>
      </c>
      <c r="F68" s="647">
        <f>-('R5 - Financing'!E85*INDEX(Corporate_Tax,MATCH(F$6,Data!$C$18:$N$18,0))*'R8 - Tax'!F$38)</f>
        <v>-1.9986146366836872</v>
      </c>
      <c r="G68" s="647">
        <f>-('R5 - Financing'!F85*INDEX(Corporate_Tax,MATCH(G$6,Data!$C$18:$N$18,0))*'R8 - Tax'!G$38)</f>
        <v>1.8436077612362094</v>
      </c>
      <c r="H68" s="647">
        <f>-('R5 - Financing'!G85*INDEX(Corporate_Tax,MATCH(H$6,Data!$C$18:$N$18,0))*'R8 - Tax'!H$38)</f>
        <v>-0.34817269609950968</v>
      </c>
      <c r="I68" s="647">
        <f>-('R5 - Financing'!H85*INDEX(Corporate_Tax,MATCH(I$6,Data!$C$18:$N$18,0))*'R8 - Tax'!I$38)</f>
        <v>-3.3594194423397781</v>
      </c>
    </row>
    <row r="69" spans="2:9">
      <c r="B69" s="103" t="s">
        <v>744</v>
      </c>
      <c r="D69" s="595" t="str">
        <f>Data!$C$9</f>
        <v>£m 20/21</v>
      </c>
      <c r="E69" s="644">
        <f>E68/E$38</f>
        <v>-15.747197420797262</v>
      </c>
      <c r="F69" s="644">
        <f>F68/F$38</f>
        <v>-1.5179627382215308</v>
      </c>
      <c r="G69" s="644">
        <f>G68/G$38</f>
        <v>1.3787029490370628</v>
      </c>
      <c r="H69" s="644">
        <f>H68/H$38</f>
        <v>-0.2559834442993143</v>
      </c>
      <c r="I69" s="644">
        <f>I68/I$38</f>
        <v>-2.4229518404236892</v>
      </c>
    </row>
    <row r="70" spans="2:9">
      <c r="B70" s="103" t="s">
        <v>745</v>
      </c>
      <c r="D70" s="595" t="str">
        <f>Data!$C$9</f>
        <v>£m 20/21</v>
      </c>
      <c r="E70" s="644">
        <f>E67-E69</f>
        <v>0.16916547199915755</v>
      </c>
      <c r="F70" s="644">
        <f>F67-F69</f>
        <v>9.9001713142781611E-2</v>
      </c>
      <c r="G70" s="644">
        <f>G67-G69</f>
        <v>-5.7015803597533221E-2</v>
      </c>
      <c r="H70" s="644">
        <f>H67-H69</f>
        <v>6.1990944784469093E-3</v>
      </c>
      <c r="I70" s="644">
        <f>I67-I69</f>
        <v>7.2412118451552487E-3</v>
      </c>
    </row>
  </sheetData>
  <sheetProtection insertRows="0" sort="0" autoFilter="0" pivotTables="0"/>
  <mergeCells count="1">
    <mergeCell ref="B9:I9"/>
  </mergeCells>
  <phoneticPr fontId="248" type="noConversion"/>
  <conditionalFormatting sqref="E7:I7">
    <cfRule type="expression" dxfId="26" priority="15">
      <formula>AND(E$5="Actuals",F$5="Forecast")</formula>
    </cfRule>
  </conditionalFormatting>
  <conditionalFormatting sqref="E11:I11">
    <cfRule type="expression" dxfId="25" priority="10">
      <formula>E$5="Forecast"</formula>
    </cfRule>
  </conditionalFormatting>
  <conditionalFormatting sqref="E16:I19">
    <cfRule type="expression" dxfId="24" priority="7">
      <formula>E$5="Forecast"</formula>
    </cfRule>
  </conditionalFormatting>
  <conditionalFormatting sqref="E23:I32">
    <cfRule type="expression" dxfId="23" priority="13">
      <formula>E$5="Forecast"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&amp;C_x000D_&amp;1#&amp;"Calibri"&amp;12&amp;K008000 Internal Use</oddFooter>
  </headerFooter>
  <ignoredErrors>
    <ignoredError sqref="F46:I46" evalError="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2"/>
  <sheetViews>
    <sheetView zoomScaleNormal="100" workbookViewId="0"/>
  </sheetViews>
  <sheetFormatPr defaultColWidth="9" defaultRowHeight="12.75"/>
  <cols>
    <col min="1" max="1" width="8.375" style="103" customWidth="1"/>
    <col min="2" max="2" width="75" style="103" customWidth="1"/>
    <col min="3" max="3" width="15.125" style="103" customWidth="1"/>
    <col min="4" max="4" width="14.75" style="103" customWidth="1"/>
    <col min="5" max="5" width="14.875" style="103" customWidth="1"/>
    <col min="6" max="6" width="14.375" style="103" customWidth="1"/>
    <col min="7" max="8" width="11.125" style="103" customWidth="1"/>
    <col min="9" max="9" width="5" style="103" customWidth="1"/>
    <col min="10" max="13" width="9" style="103"/>
    <col min="14" max="14" width="13.125" style="103" customWidth="1"/>
    <col min="15" max="16384" width="9" style="103"/>
  </cols>
  <sheetData>
    <row r="1" spans="1:15" ht="20.25">
      <c r="A1" s="288" t="s">
        <v>271</v>
      </c>
      <c r="B1" s="290"/>
      <c r="C1" s="291"/>
      <c r="D1" s="291"/>
      <c r="E1" s="291"/>
      <c r="F1" s="291"/>
      <c r="G1" s="291"/>
      <c r="H1" s="291"/>
      <c r="I1" s="420"/>
    </row>
    <row r="2" spans="1:15" ht="20.25">
      <c r="A2" s="293" t="str">
        <f>Licensee</f>
        <v>SPMW</v>
      </c>
      <c r="B2" s="295"/>
      <c r="C2" s="296"/>
      <c r="D2" s="296"/>
      <c r="E2" s="296"/>
      <c r="F2" s="296"/>
      <c r="G2" s="296"/>
      <c r="H2" s="296"/>
      <c r="I2" s="298"/>
    </row>
    <row r="3" spans="1:15" ht="20.25">
      <c r="A3" s="295">
        <f>Reporting_Year</f>
        <v>2024</v>
      </c>
      <c r="B3" s="299"/>
      <c r="C3" s="299"/>
      <c r="D3" s="299"/>
      <c r="E3" s="299"/>
      <c r="F3" s="299"/>
      <c r="G3" s="299"/>
      <c r="H3" s="299"/>
      <c r="I3" s="301"/>
    </row>
    <row r="4" spans="1:15" s="303" customFormat="1" ht="12.75" customHeight="1"/>
    <row r="5" spans="1:15" s="303" customFormat="1">
      <c r="B5" s="444"/>
      <c r="C5" s="444"/>
      <c r="D5" s="302" t="str">
        <f t="shared" ref="D5:H5" si="0">IF(D6&lt;=Reporting_Year,"Actuals","Forecast")</f>
        <v>Actuals</v>
      </c>
      <c r="E5" s="302" t="str">
        <f t="shared" si="0"/>
        <v>Forecast</v>
      </c>
      <c r="F5" s="302" t="str">
        <f t="shared" si="0"/>
        <v>Forecast</v>
      </c>
      <c r="G5" s="302" t="str">
        <f t="shared" si="0"/>
        <v>Forecast</v>
      </c>
      <c r="H5" s="302" t="str">
        <f t="shared" si="0"/>
        <v>Forecast</v>
      </c>
    </row>
    <row r="6" spans="1:15" s="303" customFormat="1">
      <c r="D6" s="421">
        <f>'RFPR cover'!$C$6</f>
        <v>2024</v>
      </c>
      <c r="E6" s="422">
        <f>D6+1</f>
        <v>2025</v>
      </c>
      <c r="F6" s="422">
        <f t="shared" ref="F6:H6" si="1">E6+1</f>
        <v>2026</v>
      </c>
      <c r="G6" s="422">
        <f t="shared" si="1"/>
        <v>2027</v>
      </c>
      <c r="H6" s="422">
        <f t="shared" si="1"/>
        <v>2028</v>
      </c>
    </row>
    <row r="7" spans="1:15" s="303" customFormat="1">
      <c r="D7" s="421" t="str">
        <f>RIIO_2_start_date-1&amp;"/"&amp;RIGHT(RIIO_2_start_date,2)</f>
        <v>2023/24</v>
      </c>
      <c r="E7" s="421" t="str">
        <f>RIIO_2_start_date&amp;"/"&amp;RIGHT(RIIO_2_start_date+1,2)</f>
        <v>2024/25</v>
      </c>
      <c r="F7" s="421" t="str">
        <f>RIIO_2_start_date+1&amp;"/"&amp;RIGHT(RIIO_2_start_date+2,2)</f>
        <v>2025/26</v>
      </c>
      <c r="G7" s="421" t="str">
        <f>RIIO_2_start_date+2&amp;"/"&amp;RIGHT(RIIO_2_start_date+3,2)</f>
        <v>2026/27</v>
      </c>
      <c r="H7" s="522" t="str">
        <f>RIIO_2_start_date+3&amp;"/"&amp;RIGHT(RIIO_2_start_date+4,2)</f>
        <v>2027/28</v>
      </c>
    </row>
    <row r="8" spans="1:15" s="303" customFormat="1"/>
    <row r="9" spans="1:15" s="303" customFormat="1">
      <c r="A9" s="648" t="s">
        <v>747</v>
      </c>
      <c r="B9" s="649"/>
      <c r="C9" s="308"/>
      <c r="D9" s="308"/>
      <c r="E9" s="308"/>
      <c r="F9" s="308"/>
      <c r="G9" s="308"/>
      <c r="H9" s="308"/>
    </row>
    <row r="10" spans="1:15" s="303" customFormat="1"/>
    <row r="11" spans="1:15">
      <c r="B11" s="393" t="s">
        <v>748</v>
      </c>
      <c r="C11" s="29" t="s">
        <v>507</v>
      </c>
      <c r="D11" s="634">
        <v>63.2</v>
      </c>
      <c r="E11" s="634"/>
      <c r="F11" s="634"/>
      <c r="G11" s="634"/>
      <c r="H11" s="634"/>
      <c r="J11" s="303"/>
    </row>
    <row r="12" spans="1:15">
      <c r="B12" s="375" t="s">
        <v>749</v>
      </c>
      <c r="C12" s="393"/>
      <c r="D12" s="611"/>
      <c r="E12" s="611"/>
      <c r="F12" s="611"/>
      <c r="G12" s="611"/>
      <c r="H12" s="611"/>
      <c r="J12" s="303"/>
    </row>
    <row r="13" spans="1:15">
      <c r="B13" s="526" t="s">
        <v>730</v>
      </c>
      <c r="C13" s="29" t="s">
        <v>507</v>
      </c>
      <c r="D13" s="634">
        <v>0</v>
      </c>
      <c r="E13" s="634"/>
      <c r="F13" s="634"/>
      <c r="G13" s="634"/>
      <c r="H13" s="634"/>
      <c r="J13" s="303"/>
    </row>
    <row r="14" spans="1:15">
      <c r="B14" s="526" t="s">
        <v>730</v>
      </c>
      <c r="C14" s="29" t="s">
        <v>507</v>
      </c>
      <c r="D14" s="634">
        <v>0</v>
      </c>
      <c r="E14" s="634"/>
      <c r="F14" s="634"/>
      <c r="G14" s="634"/>
      <c r="H14" s="634"/>
      <c r="J14" s="303"/>
    </row>
    <row r="15" spans="1:15">
      <c r="B15" s="526" t="s">
        <v>731</v>
      </c>
      <c r="C15" s="29" t="s">
        <v>507</v>
      </c>
      <c r="D15" s="634">
        <v>0</v>
      </c>
      <c r="E15" s="634"/>
      <c r="F15" s="634"/>
      <c r="G15" s="634"/>
      <c r="H15" s="634"/>
      <c r="J15" s="303"/>
      <c r="N15" s="650"/>
    </row>
    <row r="16" spans="1:15">
      <c r="B16" s="393" t="s">
        <v>750</v>
      </c>
      <c r="C16" s="29" t="s">
        <v>507</v>
      </c>
      <c r="D16" s="644">
        <f>D11-SUM(D13:D15)</f>
        <v>63.2</v>
      </c>
      <c r="E16" s="644">
        <f t="shared" ref="E16:H16" si="2">E11-SUM(E13:E15)</f>
        <v>0</v>
      </c>
      <c r="F16" s="644">
        <f t="shared" si="2"/>
        <v>0</v>
      </c>
      <c r="G16" s="644">
        <f t="shared" si="2"/>
        <v>0</v>
      </c>
      <c r="H16" s="644">
        <f t="shared" si="2"/>
        <v>0</v>
      </c>
      <c r="J16" s="303"/>
      <c r="O16" s="651"/>
    </row>
    <row r="17" spans="1:14">
      <c r="C17" s="393"/>
      <c r="J17" s="303"/>
      <c r="N17" s="650"/>
    </row>
    <row r="18" spans="1:14">
      <c r="B18" s="393" t="s">
        <v>751</v>
      </c>
      <c r="C18" s="29" t="s">
        <v>507</v>
      </c>
      <c r="D18" s="634">
        <v>0</v>
      </c>
      <c r="E18" s="634"/>
      <c r="F18" s="634"/>
      <c r="G18" s="634"/>
      <c r="H18" s="634"/>
      <c r="J18" s="303"/>
    </row>
    <row r="19" spans="1:14">
      <c r="J19" s="303"/>
    </row>
    <row r="22" spans="1:14">
      <c r="A22" s="648" t="s">
        <v>752</v>
      </c>
      <c r="B22" s="652"/>
      <c r="C22" s="308"/>
      <c r="D22" s="308"/>
      <c r="E22" s="308"/>
      <c r="F22" s="308"/>
      <c r="G22" s="308"/>
      <c r="H22" s="308"/>
    </row>
    <row r="23" spans="1:14">
      <c r="D23" s="830" t="str">
        <f>Reporting_Year&amp;" "&amp;"- Actuals"</f>
        <v>2024 - Actuals</v>
      </c>
      <c r="E23" s="831"/>
      <c r="F23" s="831"/>
      <c r="G23" s="831"/>
      <c r="H23" s="832"/>
    </row>
    <row r="24" spans="1:14">
      <c r="D24" s="653" t="s">
        <v>753</v>
      </c>
      <c r="E24" s="653" t="s">
        <v>754</v>
      </c>
      <c r="F24" s="653" t="s">
        <v>755</v>
      </c>
      <c r="G24" s="653" t="s">
        <v>756</v>
      </c>
      <c r="H24" s="653" t="s">
        <v>757</v>
      </c>
    </row>
    <row r="25" spans="1:14" ht="35.1" customHeight="1">
      <c r="C25" s="103" t="s">
        <v>758</v>
      </c>
      <c r="D25" s="755" t="s">
        <v>823</v>
      </c>
      <c r="E25" s="755" t="s">
        <v>824</v>
      </c>
      <c r="F25" s="755" t="s">
        <v>575</v>
      </c>
      <c r="G25" s="654">
        <v>0</v>
      </c>
      <c r="H25" s="654">
        <v>0</v>
      </c>
    </row>
    <row r="26" spans="1:14" ht="44.45" customHeight="1">
      <c r="B26" s="393" t="s">
        <v>759</v>
      </c>
    </row>
    <row r="27" spans="1:14">
      <c r="B27" s="103" t="s">
        <v>760</v>
      </c>
      <c r="C27" s="29" t="s">
        <v>507</v>
      </c>
      <c r="D27" s="756">
        <v>0.3</v>
      </c>
      <c r="E27" s="756">
        <v>0.28320000000000001</v>
      </c>
      <c r="F27" s="756">
        <v>0.58319999999999994</v>
      </c>
      <c r="G27" s="655">
        <v>0</v>
      </c>
      <c r="H27" s="655">
        <v>0</v>
      </c>
    </row>
    <row r="28" spans="1:14">
      <c r="B28" s="103" t="s">
        <v>761</v>
      </c>
      <c r="C28" s="29" t="s">
        <v>507</v>
      </c>
      <c r="D28" s="756">
        <v>0</v>
      </c>
      <c r="E28" s="756">
        <v>0</v>
      </c>
      <c r="F28" s="756">
        <v>0</v>
      </c>
      <c r="G28" s="655">
        <v>0</v>
      </c>
      <c r="H28" s="655">
        <v>0</v>
      </c>
    </row>
    <row r="29" spans="1:14">
      <c r="B29" s="526" t="s">
        <v>731</v>
      </c>
      <c r="C29" s="29" t="s">
        <v>507</v>
      </c>
      <c r="D29" s="756">
        <v>0.02</v>
      </c>
      <c r="E29" s="756">
        <v>0</v>
      </c>
      <c r="F29" s="756">
        <v>0.02</v>
      </c>
      <c r="G29" s="655">
        <v>0</v>
      </c>
      <c r="H29" s="655">
        <v>0</v>
      </c>
    </row>
    <row r="30" spans="1:14">
      <c r="B30" s="103" t="s">
        <v>762</v>
      </c>
      <c r="C30" s="29" t="s">
        <v>507</v>
      </c>
      <c r="D30" s="756">
        <v>9.4863199999999995E-3</v>
      </c>
      <c r="E30" s="756">
        <v>1.8031559999999999E-2</v>
      </c>
      <c r="F30" s="756">
        <v>2.7517879999999998E-2</v>
      </c>
      <c r="G30" s="655">
        <v>0</v>
      </c>
      <c r="H30" s="655">
        <v>0</v>
      </c>
    </row>
    <row r="31" spans="1:14">
      <c r="B31" s="526" t="s">
        <v>731</v>
      </c>
      <c r="C31" s="29" t="s">
        <v>507</v>
      </c>
      <c r="D31" s="756"/>
      <c r="E31" s="756"/>
      <c r="F31" s="756"/>
      <c r="G31" s="655">
        <v>0</v>
      </c>
      <c r="H31" s="655">
        <v>0</v>
      </c>
    </row>
    <row r="32" spans="1:14">
      <c r="B32" s="103" t="s">
        <v>763</v>
      </c>
      <c r="C32" s="29" t="s">
        <v>507</v>
      </c>
      <c r="D32" s="756">
        <v>0</v>
      </c>
      <c r="E32" s="756">
        <v>7.8534679999999996E-2</v>
      </c>
      <c r="F32" s="756">
        <v>7.8534679999999996E-2</v>
      </c>
      <c r="G32" s="655">
        <v>0</v>
      </c>
      <c r="H32" s="655">
        <v>0</v>
      </c>
    </row>
    <row r="33" spans="2:8">
      <c r="B33" s="526" t="s">
        <v>731</v>
      </c>
      <c r="C33" s="29" t="s">
        <v>507</v>
      </c>
      <c r="D33" s="756"/>
      <c r="E33" s="756"/>
      <c r="F33" s="756"/>
      <c r="G33" s="655">
        <v>0</v>
      </c>
      <c r="H33" s="655">
        <v>0</v>
      </c>
    </row>
    <row r="34" spans="2:8">
      <c r="B34" s="393" t="s">
        <v>764</v>
      </c>
      <c r="C34" s="29" t="s">
        <v>507</v>
      </c>
      <c r="D34" s="757">
        <f>SUM(D27:D33)</f>
        <v>0.32948632</v>
      </c>
      <c r="E34" s="757">
        <f>SUM(E27:E33)</f>
        <v>0.37976624000000003</v>
      </c>
      <c r="F34" s="757">
        <f>SUM(F27:F33)</f>
        <v>0.70925255999999992</v>
      </c>
      <c r="G34" s="659">
        <f>SUM(G27:G33)</f>
        <v>0</v>
      </c>
      <c r="H34" s="659">
        <f>SUM(H27:H33)</f>
        <v>0</v>
      </c>
    </row>
    <row r="35" spans="2:8">
      <c r="B35" s="393" t="s">
        <v>765</v>
      </c>
      <c r="C35" s="29" t="s">
        <v>507</v>
      </c>
      <c r="D35" s="756">
        <v>0.10873048560000001</v>
      </c>
      <c r="E35" s="756">
        <v>0.18750424510832603</v>
      </c>
      <c r="F35" s="756">
        <v>0.30468793679944872</v>
      </c>
      <c r="G35" s="656">
        <v>0</v>
      </c>
      <c r="H35" s="656">
        <v>0</v>
      </c>
    </row>
    <row r="36" spans="2:8">
      <c r="B36" s="526"/>
      <c r="D36" s="657"/>
      <c r="E36" s="657"/>
      <c r="F36" s="657"/>
      <c r="G36" s="657"/>
      <c r="H36" s="657"/>
    </row>
    <row r="37" spans="2:8">
      <c r="B37" s="393" t="s">
        <v>766</v>
      </c>
      <c r="D37" s="657"/>
      <c r="E37" s="657"/>
      <c r="F37" s="657"/>
      <c r="G37" s="657"/>
      <c r="H37" s="657"/>
    </row>
    <row r="38" spans="2:8">
      <c r="B38" s="103" t="s">
        <v>767</v>
      </c>
      <c r="C38" s="29" t="s">
        <v>507</v>
      </c>
      <c r="D38" s="365">
        <v>0</v>
      </c>
      <c r="E38" s="365">
        <v>0</v>
      </c>
      <c r="F38" s="365">
        <v>0</v>
      </c>
      <c r="G38" s="655">
        <v>0</v>
      </c>
      <c r="H38" s="655">
        <v>0</v>
      </c>
    </row>
    <row r="39" spans="2:8">
      <c r="B39" s="526" t="s">
        <v>731</v>
      </c>
      <c r="C39" s="29" t="s">
        <v>507</v>
      </c>
      <c r="D39" s="365">
        <v>0</v>
      </c>
      <c r="E39" s="365">
        <v>0</v>
      </c>
      <c r="F39" s="365">
        <v>0</v>
      </c>
      <c r="G39" s="655">
        <v>0</v>
      </c>
      <c r="H39" s="655">
        <v>0</v>
      </c>
    </row>
    <row r="40" spans="2:8">
      <c r="B40" s="103" t="s">
        <v>768</v>
      </c>
      <c r="C40" s="29" t="s">
        <v>507</v>
      </c>
      <c r="D40" s="756">
        <v>0.21386939999999999</v>
      </c>
      <c r="E40" s="756">
        <v>0.10949206</v>
      </c>
      <c r="F40" s="756">
        <v>0.32336145999999999</v>
      </c>
      <c r="G40" s="655">
        <v>0</v>
      </c>
      <c r="H40" s="655">
        <v>0</v>
      </c>
    </row>
    <row r="41" spans="2:8">
      <c r="B41" s="526" t="s">
        <v>731</v>
      </c>
      <c r="C41" s="29" t="s">
        <v>507</v>
      </c>
      <c r="D41" s="365">
        <v>0</v>
      </c>
      <c r="E41" s="365">
        <v>0</v>
      </c>
      <c r="F41" s="365">
        <v>0</v>
      </c>
      <c r="G41" s="655">
        <v>0</v>
      </c>
      <c r="H41" s="655">
        <v>0</v>
      </c>
    </row>
    <row r="42" spans="2:8">
      <c r="B42" s="393" t="s">
        <v>769</v>
      </c>
      <c r="C42" s="29" t="s">
        <v>507</v>
      </c>
      <c r="D42" s="660">
        <f t="shared" ref="D42:F42" si="3">SUM(D38:D41)</f>
        <v>0.21386939999999999</v>
      </c>
      <c r="E42" s="660">
        <f t="shared" si="3"/>
        <v>0.10949206</v>
      </c>
      <c r="F42" s="660">
        <f t="shared" si="3"/>
        <v>0.32336145999999999</v>
      </c>
      <c r="G42" s="660">
        <f t="shared" ref="G42:H42" si="4">SUM(G38:G41)</f>
        <v>0</v>
      </c>
      <c r="H42" s="660">
        <f t="shared" si="4"/>
        <v>0</v>
      </c>
    </row>
    <row r="43" spans="2:8">
      <c r="B43" s="393" t="s">
        <v>765</v>
      </c>
      <c r="C43" s="29" t="s">
        <v>507</v>
      </c>
      <c r="D43" s="756">
        <v>7.0576901999999997E-2</v>
      </c>
      <c r="E43" s="756">
        <v>5.4060166210813096E-2</v>
      </c>
      <c r="F43" s="756">
        <v>0.13891290866522565</v>
      </c>
      <c r="G43" s="656">
        <v>0</v>
      </c>
      <c r="H43" s="656">
        <v>0</v>
      </c>
    </row>
    <row r="44" spans="2:8">
      <c r="D44" s="657"/>
      <c r="E44" s="657"/>
      <c r="F44" s="657"/>
      <c r="G44" s="657"/>
      <c r="H44" s="657"/>
    </row>
    <row r="45" spans="2:8">
      <c r="B45" s="393" t="s">
        <v>770</v>
      </c>
      <c r="C45" s="29" t="s">
        <v>507</v>
      </c>
      <c r="D45" s="660">
        <f t="shared" ref="D45:F45" si="5">SUM(D34,D42)</f>
        <v>0.54335571999999999</v>
      </c>
      <c r="E45" s="660">
        <f t="shared" si="5"/>
        <v>0.48925830000000003</v>
      </c>
      <c r="F45" s="660">
        <f t="shared" si="5"/>
        <v>1.03261402</v>
      </c>
      <c r="G45" s="660">
        <f t="shared" ref="G45:H45" si="6">SUM(G34,G42)</f>
        <v>0</v>
      </c>
      <c r="H45" s="660">
        <f t="shared" si="6"/>
        <v>0</v>
      </c>
    </row>
    <row r="46" spans="2:8">
      <c r="B46" s="393" t="s">
        <v>771</v>
      </c>
      <c r="C46" s="29" t="s">
        <v>507</v>
      </c>
      <c r="D46" s="660">
        <f>D35+D43</f>
        <v>0.17930738760000001</v>
      </c>
      <c r="E46" s="660">
        <f t="shared" ref="E46:F46" si="7">E35+E43</f>
        <v>0.24156441131913914</v>
      </c>
      <c r="F46" s="660">
        <f t="shared" si="7"/>
        <v>0.44360084546467438</v>
      </c>
      <c r="G46" s="660">
        <f t="shared" ref="G46:H46" si="8">G35+G43</f>
        <v>0</v>
      </c>
      <c r="H46" s="660">
        <f t="shared" si="8"/>
        <v>0</v>
      </c>
    </row>
    <row r="47" spans="2:8">
      <c r="D47" s="657"/>
      <c r="E47" s="657"/>
      <c r="F47" s="657"/>
      <c r="G47" s="657"/>
      <c r="H47" s="657"/>
    </row>
    <row r="48" spans="2:8">
      <c r="B48" s="393" t="s">
        <v>772</v>
      </c>
      <c r="D48" s="657"/>
      <c r="E48" s="657"/>
      <c r="F48" s="657"/>
      <c r="G48" s="657"/>
      <c r="H48" s="657"/>
    </row>
    <row r="49" spans="2:14">
      <c r="B49" s="103" t="s">
        <v>773</v>
      </c>
      <c r="C49" s="29" t="s">
        <v>774</v>
      </c>
      <c r="D49" s="365">
        <v>0</v>
      </c>
      <c r="E49" s="365">
        <v>0</v>
      </c>
      <c r="F49" s="365">
        <v>0</v>
      </c>
      <c r="G49" s="655">
        <v>0</v>
      </c>
      <c r="H49" s="655">
        <v>0</v>
      </c>
    </row>
    <row r="50" spans="2:14">
      <c r="B50" s="526" t="s">
        <v>731</v>
      </c>
      <c r="C50" s="29"/>
      <c r="D50" s="365">
        <v>0</v>
      </c>
      <c r="E50" s="365">
        <v>0</v>
      </c>
      <c r="F50" s="365">
        <v>0</v>
      </c>
      <c r="G50" s="655">
        <v>0</v>
      </c>
      <c r="H50" s="655">
        <v>0</v>
      </c>
    </row>
    <row r="51" spans="2:14">
      <c r="B51" s="103" t="s">
        <v>775</v>
      </c>
      <c r="C51" s="29" t="s">
        <v>486</v>
      </c>
      <c r="D51" s="365">
        <v>0</v>
      </c>
      <c r="E51" s="365">
        <v>0</v>
      </c>
      <c r="F51" s="365">
        <v>0</v>
      </c>
      <c r="G51" s="655">
        <v>0</v>
      </c>
      <c r="H51" s="655">
        <v>0</v>
      </c>
    </row>
    <row r="52" spans="2:14">
      <c r="B52" s="189" t="s">
        <v>776</v>
      </c>
      <c r="C52" s="29" t="s">
        <v>486</v>
      </c>
      <c r="D52" s="365">
        <v>0</v>
      </c>
      <c r="E52" s="365">
        <v>0</v>
      </c>
      <c r="F52" s="365">
        <v>0</v>
      </c>
      <c r="G52" s="655">
        <v>0</v>
      </c>
      <c r="H52" s="655">
        <v>0</v>
      </c>
    </row>
    <row r="53" spans="2:14">
      <c r="B53" s="393" t="s">
        <v>777</v>
      </c>
      <c r="C53" s="29" t="s">
        <v>507</v>
      </c>
      <c r="D53" s="365">
        <v>0</v>
      </c>
      <c r="E53" s="365">
        <v>0</v>
      </c>
      <c r="F53" s="365">
        <v>0</v>
      </c>
      <c r="G53" s="655">
        <v>0</v>
      </c>
      <c r="H53" s="655">
        <v>0</v>
      </c>
    </row>
    <row r="54" spans="2:14">
      <c r="B54" s="189" t="s">
        <v>778</v>
      </c>
      <c r="C54" s="29" t="s">
        <v>779</v>
      </c>
      <c r="D54" s="365">
        <v>0</v>
      </c>
      <c r="E54" s="365">
        <v>0</v>
      </c>
      <c r="F54" s="365">
        <v>0</v>
      </c>
      <c r="G54" s="655">
        <v>0</v>
      </c>
      <c r="H54" s="655">
        <v>0</v>
      </c>
    </row>
    <row r="55" spans="2:14">
      <c r="B55" s="189" t="s">
        <v>780</v>
      </c>
      <c r="C55" s="29" t="s">
        <v>781</v>
      </c>
      <c r="D55" s="365">
        <v>0</v>
      </c>
      <c r="E55" s="365">
        <v>0</v>
      </c>
      <c r="F55" s="365">
        <v>0</v>
      </c>
      <c r="G55" s="655">
        <v>0</v>
      </c>
      <c r="H55" s="655">
        <v>0</v>
      </c>
    </row>
    <row r="56" spans="2:14">
      <c r="B56" s="189" t="s">
        <v>782</v>
      </c>
      <c r="C56" s="29" t="s">
        <v>779</v>
      </c>
      <c r="D56" s="365">
        <v>0</v>
      </c>
      <c r="E56" s="365">
        <v>0</v>
      </c>
      <c r="F56" s="365">
        <v>0</v>
      </c>
      <c r="G56" s="655">
        <v>0</v>
      </c>
      <c r="H56" s="655">
        <v>0</v>
      </c>
    </row>
    <row r="57" spans="2:14">
      <c r="B57" s="393" t="s">
        <v>783</v>
      </c>
      <c r="C57" s="29" t="s">
        <v>507</v>
      </c>
      <c r="D57" s="661">
        <f>D55*D56</f>
        <v>0</v>
      </c>
      <c r="E57" s="661">
        <f t="shared" ref="E57:F57" si="9">E55*E56</f>
        <v>0</v>
      </c>
      <c r="F57" s="661">
        <f t="shared" si="9"/>
        <v>0</v>
      </c>
      <c r="G57" s="661">
        <f t="shared" ref="G57:H57" si="10">G55*G56</f>
        <v>0</v>
      </c>
      <c r="H57" s="661">
        <f t="shared" si="10"/>
        <v>0</v>
      </c>
    </row>
    <row r="58" spans="2:14">
      <c r="C58" s="29"/>
      <c r="D58" s="657"/>
      <c r="E58" s="657"/>
      <c r="F58" s="657"/>
      <c r="G58" s="657"/>
      <c r="H58" s="657"/>
    </row>
    <row r="59" spans="2:14">
      <c r="B59" s="393" t="s">
        <v>784</v>
      </c>
      <c r="C59" s="29" t="s">
        <v>507</v>
      </c>
      <c r="D59" s="365">
        <v>0</v>
      </c>
      <c r="E59" s="365">
        <v>0</v>
      </c>
      <c r="F59" s="365">
        <v>0</v>
      </c>
      <c r="G59" s="655">
        <v>0</v>
      </c>
      <c r="H59" s="655">
        <v>0</v>
      </c>
    </row>
    <row r="60" spans="2:14">
      <c r="B60" s="393"/>
      <c r="C60" s="393"/>
      <c r="D60" s="658"/>
      <c r="E60" s="658"/>
      <c r="F60" s="658"/>
      <c r="G60" s="658"/>
      <c r="H60" s="658"/>
      <c r="I60" s="393"/>
      <c r="J60" s="393"/>
      <c r="K60" s="393"/>
      <c r="L60" s="393"/>
      <c r="M60" s="393"/>
      <c r="N60" s="393"/>
    </row>
    <row r="61" spans="2:14">
      <c r="B61" s="393" t="s">
        <v>785</v>
      </c>
      <c r="C61" s="29"/>
      <c r="D61" s="661">
        <f>D53+D57+D59</f>
        <v>0</v>
      </c>
      <c r="E61" s="661">
        <f>E53+E57+E59</f>
        <v>0</v>
      </c>
      <c r="F61" s="661">
        <f>F53+F57+F59</f>
        <v>0</v>
      </c>
      <c r="G61" s="661">
        <f>G53+G57+G59</f>
        <v>0</v>
      </c>
      <c r="H61" s="661">
        <f>H53+H57+H59</f>
        <v>0</v>
      </c>
    </row>
    <row r="62" spans="2:14">
      <c r="B62" s="393" t="s">
        <v>765</v>
      </c>
      <c r="C62" s="29" t="s">
        <v>507</v>
      </c>
      <c r="D62" s="365">
        <v>0</v>
      </c>
      <c r="E62" s="365">
        <v>0</v>
      </c>
      <c r="F62" s="365">
        <v>0</v>
      </c>
      <c r="G62" s="655">
        <v>0</v>
      </c>
      <c r="H62" s="655">
        <v>0</v>
      </c>
    </row>
    <row r="63" spans="2:14">
      <c r="B63" s="393"/>
      <c r="C63" s="29"/>
      <c r="D63" s="658"/>
      <c r="E63" s="658"/>
      <c r="F63" s="658"/>
      <c r="G63" s="658"/>
      <c r="H63" s="658"/>
      <c r="J63" s="393"/>
      <c r="K63" s="393"/>
    </row>
    <row r="64" spans="2:14">
      <c r="B64" s="393" t="s">
        <v>786</v>
      </c>
      <c r="C64" s="29" t="s">
        <v>507</v>
      </c>
      <c r="D64" s="758">
        <f>D45+D61</f>
        <v>0.54335571999999999</v>
      </c>
      <c r="E64" s="758">
        <f t="shared" ref="E64:F65" si="11">E45+E61</f>
        <v>0.48925830000000003</v>
      </c>
      <c r="F64" s="758">
        <f t="shared" si="11"/>
        <v>1.03261402</v>
      </c>
      <c r="G64" s="661">
        <f t="shared" ref="G64:H64" si="12">G45+G61</f>
        <v>0</v>
      </c>
      <c r="H64" s="661">
        <f t="shared" si="12"/>
        <v>0</v>
      </c>
    </row>
    <row r="65" spans="1:12">
      <c r="B65" s="393" t="s">
        <v>787</v>
      </c>
      <c r="C65" s="29" t="s">
        <v>507</v>
      </c>
      <c r="D65" s="758">
        <f>D46+D62</f>
        <v>0.17930738760000001</v>
      </c>
      <c r="E65" s="758">
        <f t="shared" si="11"/>
        <v>0.24156441131913914</v>
      </c>
      <c r="F65" s="758">
        <f t="shared" si="11"/>
        <v>0.44360084546467438</v>
      </c>
      <c r="G65" s="661">
        <f t="shared" ref="G65:H65" si="13">G46+G62</f>
        <v>0</v>
      </c>
      <c r="H65" s="661">
        <f t="shared" si="13"/>
        <v>0</v>
      </c>
      <c r="J65" s="393"/>
    </row>
    <row r="66" spans="1:12">
      <c r="B66" s="393"/>
      <c r="C66" s="29"/>
      <c r="D66" s="506"/>
      <c r="E66" s="506"/>
      <c r="F66" s="506"/>
      <c r="G66" s="506"/>
      <c r="H66" s="506"/>
      <c r="J66" s="393"/>
    </row>
    <row r="67" spans="1:12">
      <c r="B67" s="393" t="s">
        <v>788</v>
      </c>
      <c r="C67" s="29"/>
      <c r="D67" s="506"/>
      <c r="E67" s="506"/>
      <c r="F67" s="506"/>
      <c r="G67" s="506"/>
      <c r="H67" s="506"/>
      <c r="I67" s="506"/>
      <c r="J67" s="506"/>
      <c r="K67" s="506"/>
    </row>
    <row r="68" spans="1:12">
      <c r="B68" s="103" t="s">
        <v>789</v>
      </c>
      <c r="C68" s="29"/>
      <c r="D68" s="365">
        <v>17.23</v>
      </c>
      <c r="E68" s="506"/>
      <c r="F68" s="506"/>
      <c r="G68" s="506"/>
      <c r="H68" s="506"/>
      <c r="I68" s="506"/>
      <c r="J68" s="506"/>
      <c r="K68" s="506"/>
    </row>
    <row r="69" spans="1:12">
      <c r="B69" s="103" t="s">
        <v>790</v>
      </c>
      <c r="C69" s="29"/>
      <c r="D69" s="365">
        <v>10.34</v>
      </c>
      <c r="E69" s="506"/>
      <c r="F69" s="506"/>
      <c r="G69" s="506"/>
      <c r="H69" s="506"/>
      <c r="I69" s="506"/>
      <c r="J69" s="506"/>
      <c r="K69" s="506"/>
    </row>
    <row r="70" spans="1:12">
      <c r="B70" s="103" t="s">
        <v>791</v>
      </c>
      <c r="C70" s="29"/>
      <c r="D70" s="365">
        <v>6.59</v>
      </c>
      <c r="E70" s="506"/>
      <c r="F70" s="506"/>
      <c r="G70" s="506"/>
      <c r="H70" s="506"/>
      <c r="I70" s="506"/>
      <c r="J70" s="506"/>
      <c r="K70" s="506"/>
    </row>
    <row r="71" spans="1:12">
      <c r="B71" s="393"/>
      <c r="C71" s="29"/>
      <c r="D71" s="506"/>
      <c r="E71" s="506"/>
      <c r="F71" s="506"/>
      <c r="G71" s="506"/>
      <c r="H71" s="506"/>
      <c r="I71" s="506"/>
      <c r="J71" s="506"/>
      <c r="K71" s="506"/>
    </row>
    <row r="72" spans="1:12">
      <c r="A72" s="392"/>
      <c r="B72" s="393"/>
      <c r="C72" s="29"/>
      <c r="D72" s="29"/>
      <c r="E72" s="506"/>
      <c r="F72" s="506"/>
      <c r="G72" s="506"/>
      <c r="H72" s="506"/>
      <c r="I72" s="506"/>
      <c r="J72" s="506"/>
      <c r="K72" s="506"/>
      <c r="L72" s="29"/>
    </row>
    <row r="73" spans="1:12">
      <c r="A73" s="392"/>
      <c r="B73" s="393"/>
      <c r="C73" s="393"/>
      <c r="D73" s="393"/>
      <c r="E73" s="506"/>
      <c r="F73" s="393"/>
      <c r="G73" s="393"/>
      <c r="H73" s="393"/>
      <c r="I73" s="393"/>
      <c r="J73" s="393"/>
    </row>
    <row r="74" spans="1:12">
      <c r="A74" s="392"/>
      <c r="B74" s="393"/>
      <c r="C74" s="393"/>
      <c r="D74" s="393"/>
      <c r="E74" s="393"/>
      <c r="F74" s="393"/>
      <c r="G74" s="393"/>
      <c r="H74" s="393"/>
      <c r="I74" s="393"/>
      <c r="J74" s="393"/>
    </row>
    <row r="75" spans="1:12">
      <c r="B75" s="393" t="s">
        <v>792</v>
      </c>
    </row>
    <row r="76" spans="1:12">
      <c r="B76" s="393"/>
    </row>
    <row r="77" spans="1:12">
      <c r="B77" s="824" t="s">
        <v>822</v>
      </c>
      <c r="C77" s="833"/>
      <c r="D77" s="833"/>
      <c r="E77" s="833"/>
      <c r="F77" s="833"/>
      <c r="G77" s="833"/>
      <c r="H77" s="834"/>
    </row>
    <row r="78" spans="1:12">
      <c r="B78" s="835"/>
      <c r="C78" s="836"/>
      <c r="D78" s="836"/>
      <c r="E78" s="836"/>
      <c r="F78" s="836"/>
      <c r="G78" s="836"/>
      <c r="H78" s="837"/>
    </row>
    <row r="79" spans="1:12">
      <c r="B79" s="835"/>
      <c r="C79" s="836"/>
      <c r="D79" s="836"/>
      <c r="E79" s="836"/>
      <c r="F79" s="836"/>
      <c r="G79" s="836"/>
      <c r="H79" s="837"/>
    </row>
    <row r="80" spans="1:12">
      <c r="B80" s="835"/>
      <c r="C80" s="836"/>
      <c r="D80" s="836"/>
      <c r="E80" s="836"/>
      <c r="F80" s="836"/>
      <c r="G80" s="836"/>
      <c r="H80" s="837"/>
    </row>
    <row r="81" spans="2:8">
      <c r="B81" s="835"/>
      <c r="C81" s="836"/>
      <c r="D81" s="836"/>
      <c r="E81" s="836"/>
      <c r="F81" s="836"/>
      <c r="G81" s="836"/>
      <c r="H81" s="837"/>
    </row>
    <row r="82" spans="2:8">
      <c r="B82" s="838"/>
      <c r="C82" s="839"/>
      <c r="D82" s="839"/>
      <c r="E82" s="839"/>
      <c r="F82" s="839"/>
      <c r="G82" s="839"/>
      <c r="H82" s="840"/>
    </row>
  </sheetData>
  <sheetProtection insertRows="0" sort="0" autoFilter="0" pivotTables="0"/>
  <mergeCells count="2">
    <mergeCell ref="D23:H23"/>
    <mergeCell ref="B77:H82"/>
  </mergeCells>
  <phoneticPr fontId="248" type="noConversion"/>
  <conditionalFormatting sqref="D5:G6">
    <cfRule type="expression" dxfId="22" priority="40">
      <formula>AND(D$5="Actuals",E$5="N/A")</formula>
    </cfRule>
  </conditionalFormatting>
  <conditionalFormatting sqref="D5:H6 G64:H66 F71:K72 E71:E73 G27:H35 G43:H43 G49:H57 D71 G67:K70">
    <cfRule type="expression" dxfId="21" priority="32">
      <formula>D$5="N/A"</formula>
    </cfRule>
  </conditionalFormatting>
  <conditionalFormatting sqref="D7:H7">
    <cfRule type="expression" dxfId="20" priority="15">
      <formula>AND(D$5="Actuals",E$5="Forecast")</formula>
    </cfRule>
  </conditionalFormatting>
  <conditionalFormatting sqref="D11:H11">
    <cfRule type="expression" dxfId="19" priority="10">
      <formula>D$5="Forecast"</formula>
    </cfRule>
  </conditionalFormatting>
  <conditionalFormatting sqref="D13:H16">
    <cfRule type="expression" dxfId="18" priority="6">
      <formula>D$5="Forecast"</formula>
    </cfRule>
  </conditionalFormatting>
  <conditionalFormatting sqref="D18:H18">
    <cfRule type="expression" dxfId="17" priority="7">
      <formula>D$5="Forecast"</formula>
    </cfRule>
  </conditionalFormatting>
  <conditionalFormatting sqref="D20:H20">
    <cfRule type="expression" priority="26">
      <formula>D$5="N/A"</formula>
    </cfRule>
  </conditionalFormatting>
  <conditionalFormatting sqref="G38:H41">
    <cfRule type="expression" dxfId="16" priority="16">
      <formula>G$5="N/A"</formula>
    </cfRule>
  </conditionalFormatting>
  <conditionalFormatting sqref="G59:H59 G61:H62">
    <cfRule type="expression" dxfId="15" priority="18">
      <formula>G$5="N/A"</formula>
    </cfRule>
  </conditionalFormatting>
  <conditionalFormatting sqref="H5:H6">
    <cfRule type="expression" dxfId="14" priority="279">
      <formula>AND(H$5="Actuals",#REF!="N/A")</formula>
    </cfRule>
  </conditionalFormatting>
  <conditionalFormatting sqref="D43:F43 D49:F57 D64:F70 D27:F35">
    <cfRule type="expression" dxfId="13" priority="5">
      <formula>D$5="N/A"</formula>
    </cfRule>
  </conditionalFormatting>
  <conditionalFormatting sqref="D61:F61">
    <cfRule type="expression" dxfId="12" priority="4">
      <formula>D$5="N/A"</formula>
    </cfRule>
  </conditionalFormatting>
  <conditionalFormatting sqref="D38:F41">
    <cfRule type="expression" dxfId="11" priority="3">
      <formula>D$5="N/A"</formula>
    </cfRule>
  </conditionalFormatting>
  <conditionalFormatting sqref="D59:F59">
    <cfRule type="expression" dxfId="10" priority="2">
      <formula>D$5="N/A"</formula>
    </cfRule>
  </conditionalFormatting>
  <conditionalFormatting sqref="D62:F62">
    <cfRule type="expression" dxfId="9" priority="1">
      <formula>D$5="N/A"</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&amp;C_x000D_&amp;1#&amp;"Calibri"&amp;12&amp;K008000 Internal Use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zoomScaleNormal="100" workbookViewId="0"/>
  </sheetViews>
  <sheetFormatPr defaultColWidth="9" defaultRowHeight="12.75"/>
  <cols>
    <col min="1" max="1" width="8.375" style="103" customWidth="1"/>
    <col min="2" max="2" width="77.25" style="103" bestFit="1" customWidth="1"/>
    <col min="3" max="3" width="14.125" style="103" customWidth="1"/>
    <col min="4" max="8" width="11.125" style="103" customWidth="1"/>
    <col min="9" max="9" width="6.625" style="103" bestFit="1" customWidth="1"/>
    <col min="10" max="16384" width="9" style="103"/>
  </cols>
  <sheetData>
    <row r="1" spans="1:10" ht="20.25">
      <c r="A1" s="288" t="s">
        <v>793</v>
      </c>
      <c r="B1" s="290"/>
      <c r="C1" s="291"/>
      <c r="D1" s="291"/>
      <c r="E1" s="291"/>
      <c r="F1" s="291"/>
      <c r="G1" s="291"/>
      <c r="H1" s="291"/>
      <c r="I1" s="420"/>
    </row>
    <row r="2" spans="1:10" ht="20.25">
      <c r="A2" s="293" t="str">
        <f>Licensee</f>
        <v>SPMW</v>
      </c>
      <c r="B2" s="295"/>
      <c r="C2" s="296"/>
      <c r="D2" s="296"/>
      <c r="E2" s="296"/>
      <c r="F2" s="296"/>
      <c r="G2" s="296"/>
      <c r="H2" s="296"/>
      <c r="I2" s="298"/>
    </row>
    <row r="3" spans="1:10" ht="20.25">
      <c r="A3" s="295">
        <f>Reporting_Year</f>
        <v>2024</v>
      </c>
      <c r="B3" s="515"/>
      <c r="C3" s="299"/>
      <c r="D3" s="299"/>
      <c r="E3" s="299"/>
      <c r="F3" s="299"/>
      <c r="G3" s="299"/>
      <c r="H3" s="299"/>
      <c r="I3" s="301"/>
    </row>
    <row r="4" spans="1:10" s="303" customFormat="1" ht="12.75" customHeight="1">
      <c r="B4" s="444"/>
      <c r="C4" s="103"/>
      <c r="D4" s="560"/>
      <c r="E4" s="560"/>
    </row>
    <row r="5" spans="1:10" s="303" customFormat="1" ht="12.75" customHeight="1">
      <c r="B5" s="444"/>
      <c r="C5" s="103"/>
      <c r="D5" s="662" t="str">
        <f t="shared" ref="D5:H5" si="0">IF(D6&lt;=Reporting_Year,"Actuals","Forecast")</f>
        <v>Actuals</v>
      </c>
      <c r="E5" s="662" t="str">
        <f t="shared" si="0"/>
        <v>Forecast</v>
      </c>
      <c r="F5" s="662" t="str">
        <f t="shared" si="0"/>
        <v>Forecast</v>
      </c>
      <c r="G5" s="662" t="str">
        <f t="shared" si="0"/>
        <v>Forecast</v>
      </c>
      <c r="H5" s="662" t="str">
        <f t="shared" si="0"/>
        <v>Forecast</v>
      </c>
      <c r="I5" s="431"/>
    </row>
    <row r="6" spans="1:10" s="303" customFormat="1">
      <c r="C6" s="103"/>
      <c r="D6" s="522">
        <f>'RFPR cover'!$C$6</f>
        <v>2024</v>
      </c>
      <c r="E6" s="522">
        <f>D6+1</f>
        <v>2025</v>
      </c>
      <c r="F6" s="522">
        <f t="shared" ref="F6:H6" si="1">E6+1</f>
        <v>2026</v>
      </c>
      <c r="G6" s="522">
        <f t="shared" si="1"/>
        <v>2027</v>
      </c>
      <c r="H6" s="522">
        <f t="shared" si="1"/>
        <v>2028</v>
      </c>
      <c r="I6" s="431"/>
    </row>
    <row r="7" spans="1:10" s="303" customFormat="1">
      <c r="D7" s="421" t="str">
        <f>RIIO_2_start_date-1&amp;"/"&amp;RIGHT(RIIO_2_start_date,2)</f>
        <v>2023/24</v>
      </c>
      <c r="E7" s="421" t="str">
        <f>RIIO_2_start_date&amp;"/"&amp;RIGHT(RIIO_2_start_date+1,2)</f>
        <v>2024/25</v>
      </c>
      <c r="F7" s="421" t="str">
        <f>RIIO_2_start_date+1&amp;"/"&amp;RIGHT(RIIO_2_start_date+2,2)</f>
        <v>2025/26</v>
      </c>
      <c r="G7" s="421" t="str">
        <f>RIIO_2_start_date+2&amp;"/"&amp;RIGHT(RIIO_2_start_date+3,2)</f>
        <v>2026/27</v>
      </c>
      <c r="H7" s="522" t="str">
        <f>RIIO_2_start_date+3&amp;"/"&amp;RIGHT(RIIO_2_start_date+4,2)</f>
        <v>2027/28</v>
      </c>
      <c r="I7" s="431"/>
    </row>
    <row r="8" spans="1:10" s="303" customFormat="1">
      <c r="I8" s="431"/>
    </row>
    <row r="9" spans="1:10" s="303" customFormat="1">
      <c r="B9" s="663" t="s">
        <v>794</v>
      </c>
      <c r="C9" s="356"/>
      <c r="D9" s="357"/>
      <c r="E9" s="357"/>
      <c r="F9" s="357"/>
      <c r="G9" s="357"/>
      <c r="H9" s="357"/>
      <c r="I9" s="431"/>
    </row>
    <row r="10" spans="1:10" s="303" customFormat="1">
      <c r="B10" s="446"/>
      <c r="C10" s="29"/>
      <c r="I10" s="431"/>
    </row>
    <row r="11" spans="1:10" s="303" customFormat="1">
      <c r="B11" s="446"/>
      <c r="C11" s="29"/>
      <c r="I11" s="431"/>
    </row>
    <row r="12" spans="1:10">
      <c r="B12" s="393" t="s">
        <v>795</v>
      </c>
      <c r="C12" s="29" t="s">
        <v>507</v>
      </c>
      <c r="D12" s="664">
        <v>41.840743093820933</v>
      </c>
      <c r="E12" s="664"/>
      <c r="F12" s="664"/>
      <c r="G12" s="664"/>
      <c r="H12" s="664"/>
      <c r="I12" s="431"/>
      <c r="J12" s="303"/>
    </row>
    <row r="13" spans="1:10">
      <c r="B13" s="524" t="s">
        <v>796</v>
      </c>
      <c r="D13" s="611"/>
      <c r="E13" s="611"/>
      <c r="F13" s="611"/>
      <c r="G13" s="611"/>
      <c r="H13" s="611"/>
      <c r="J13" s="303"/>
    </row>
    <row r="14" spans="1:10">
      <c r="B14" s="103" t="s">
        <v>797</v>
      </c>
      <c r="C14" s="29" t="s">
        <v>507</v>
      </c>
      <c r="D14" s="664">
        <v>35.03904393546749</v>
      </c>
      <c r="E14" s="664"/>
      <c r="F14" s="664"/>
      <c r="G14" s="664"/>
      <c r="H14" s="664"/>
      <c r="I14" s="431"/>
      <c r="J14" s="303"/>
    </row>
    <row r="15" spans="1:10">
      <c r="B15" s="103" t="s">
        <v>798</v>
      </c>
      <c r="C15" s="29" t="s">
        <v>507</v>
      </c>
      <c r="D15" s="664">
        <v>6.8016991583534434</v>
      </c>
      <c r="E15" s="664"/>
      <c r="F15" s="664"/>
      <c r="G15" s="664"/>
      <c r="H15" s="664"/>
      <c r="I15" s="431"/>
      <c r="J15" s="303"/>
    </row>
    <row r="16" spans="1:10">
      <c r="D16" s="611"/>
      <c r="E16" s="611"/>
      <c r="F16" s="611"/>
      <c r="G16" s="611"/>
      <c r="H16" s="611"/>
      <c r="I16" s="431"/>
      <c r="J16" s="303"/>
    </row>
    <row r="17" spans="2:10">
      <c r="D17" s="611"/>
      <c r="E17" s="611"/>
      <c r="F17" s="611"/>
      <c r="G17" s="611"/>
      <c r="H17" s="611"/>
      <c r="I17" s="431"/>
      <c r="J17" s="303"/>
    </row>
    <row r="18" spans="2:10">
      <c r="B18" s="103" t="s">
        <v>797</v>
      </c>
      <c r="C18" s="595" t="str">
        <f>Data!$C$9</f>
        <v>£m 20/21</v>
      </c>
      <c r="D18" s="225">
        <f t="shared" ref="D18:H18" si="2">D$14/INDEX(real_to_nominal_CF,MATCH(D6,calendar_year,0))</f>
        <v>27.360943035448965</v>
      </c>
      <c r="E18" s="225">
        <f t="shared" si="2"/>
        <v>0</v>
      </c>
      <c r="F18" s="225">
        <f t="shared" si="2"/>
        <v>0</v>
      </c>
      <c r="G18" s="225">
        <f t="shared" si="2"/>
        <v>0</v>
      </c>
      <c r="H18" s="225">
        <f t="shared" si="2"/>
        <v>0</v>
      </c>
      <c r="I18" s="431"/>
      <c r="J18" s="303"/>
    </row>
    <row r="19" spans="2:10">
      <c r="D19" s="611"/>
      <c r="E19" s="611"/>
      <c r="F19" s="611"/>
      <c r="G19" s="611"/>
      <c r="H19" s="611"/>
      <c r="I19" s="431"/>
      <c r="J19" s="303"/>
    </row>
    <row r="20" spans="2:10">
      <c r="D20" s="611"/>
      <c r="E20" s="611"/>
      <c r="F20" s="611"/>
      <c r="G20" s="611"/>
      <c r="H20" s="611"/>
      <c r="I20" s="431"/>
      <c r="J20" s="303"/>
    </row>
    <row r="21" spans="2:10" s="303" customFormat="1">
      <c r="B21" s="393" t="s">
        <v>799</v>
      </c>
      <c r="C21" s="595" t="str">
        <f>Data!$C$9</f>
        <v>£m 20/21</v>
      </c>
      <c r="D21" s="602">
        <v>31.018698273219577</v>
      </c>
      <c r="E21" s="602">
        <v>0</v>
      </c>
      <c r="F21" s="602">
        <v>0</v>
      </c>
      <c r="G21" s="602">
        <v>0</v>
      </c>
      <c r="H21" s="602">
        <v>0</v>
      </c>
      <c r="I21" s="431"/>
    </row>
    <row r="22" spans="2:10" s="303" customFormat="1">
      <c r="B22" s="103" t="s">
        <v>800</v>
      </c>
      <c r="C22" s="595" t="str">
        <f>Data!$C$9</f>
        <v>£m 20/21</v>
      </c>
      <c r="D22" s="559">
        <v>2.2843227410510543</v>
      </c>
      <c r="E22" s="559">
        <v>0</v>
      </c>
      <c r="F22" s="559">
        <v>0</v>
      </c>
      <c r="G22" s="559">
        <v>0</v>
      </c>
      <c r="H22" s="559">
        <v>0</v>
      </c>
      <c r="I22" s="431"/>
    </row>
    <row r="23" spans="2:10" s="303" customFormat="1">
      <c r="B23" s="393" t="s">
        <v>801</v>
      </c>
      <c r="C23" s="595" t="str">
        <f>Data!$C$9</f>
        <v>£m 20/21</v>
      </c>
      <c r="D23" s="225">
        <f>D21-D22</f>
        <v>28.734375532168524</v>
      </c>
      <c r="E23" s="225">
        <f t="shared" ref="E23:H23" si="3">E21-E22</f>
        <v>0</v>
      </c>
      <c r="F23" s="225">
        <f t="shared" si="3"/>
        <v>0</v>
      </c>
      <c r="G23" s="225">
        <f t="shared" si="3"/>
        <v>0</v>
      </c>
      <c r="H23" s="225">
        <f t="shared" si="3"/>
        <v>0</v>
      </c>
      <c r="I23" s="431"/>
    </row>
    <row r="24" spans="2:10" s="303" customFormat="1">
      <c r="B24" s="393"/>
      <c r="C24" s="393"/>
      <c r="D24" s="393"/>
      <c r="E24" s="393"/>
      <c r="F24" s="393"/>
      <c r="G24" s="393"/>
      <c r="H24" s="393"/>
      <c r="I24" s="431"/>
    </row>
    <row r="25" spans="2:10" s="303" customFormat="1">
      <c r="B25" s="393"/>
      <c r="C25" s="393"/>
      <c r="D25" s="841" t="s">
        <v>802</v>
      </c>
      <c r="E25" s="393"/>
      <c r="F25" s="393"/>
      <c r="G25" s="393"/>
      <c r="H25" s="393"/>
      <c r="I25" s="431"/>
    </row>
    <row r="26" spans="2:10" s="303" customFormat="1" ht="12.75" customHeight="1">
      <c r="B26" s="393"/>
      <c r="C26" s="393"/>
      <c r="D26" s="842"/>
      <c r="E26" s="393"/>
      <c r="F26" s="393"/>
      <c r="G26" s="393"/>
      <c r="H26" s="393"/>
      <c r="I26" s="431"/>
    </row>
    <row r="27" spans="2:10">
      <c r="C27" s="393"/>
      <c r="D27" s="843"/>
      <c r="E27" s="393"/>
      <c r="F27" s="393"/>
      <c r="I27" s="431"/>
    </row>
    <row r="28" spans="2:10">
      <c r="B28" s="393" t="s">
        <v>803</v>
      </c>
      <c r="C28" s="393"/>
      <c r="D28" s="665">
        <v>44651</v>
      </c>
      <c r="E28" s="393"/>
      <c r="F28" s="393"/>
      <c r="I28" s="431"/>
    </row>
    <row r="29" spans="2:10">
      <c r="B29" s="393"/>
      <c r="C29" s="393"/>
      <c r="D29" s="666"/>
      <c r="E29" s="393"/>
      <c r="F29" s="393"/>
      <c r="I29" s="431"/>
    </row>
    <row r="30" spans="2:10">
      <c r="B30" s="103" t="s">
        <v>746</v>
      </c>
      <c r="C30" s="393"/>
      <c r="D30" s="667" t="s">
        <v>825</v>
      </c>
      <c r="E30" s="393"/>
      <c r="F30" s="393"/>
      <c r="I30" s="431"/>
    </row>
    <row r="31" spans="2:10">
      <c r="C31" s="393"/>
      <c r="D31" s="393"/>
      <c r="E31" s="393"/>
      <c r="F31" s="393"/>
      <c r="H31"/>
      <c r="I31" s="431"/>
    </row>
    <row r="32" spans="2:10">
      <c r="B32" s="393"/>
      <c r="F32" s="393"/>
      <c r="I32" s="431"/>
    </row>
    <row r="33" spans="2:9">
      <c r="B33" s="103" t="s">
        <v>804</v>
      </c>
      <c r="C33" s="668" t="str">
        <f>"£m "&amp;$D$30</f>
        <v>£m 21/22</v>
      </c>
      <c r="D33" s="559">
        <v>915.59999999999991</v>
      </c>
      <c r="E33" s="393"/>
      <c r="F33" s="393"/>
      <c r="I33" s="431"/>
    </row>
    <row r="34" spans="2:9">
      <c r="B34" s="103" t="s">
        <v>805</v>
      </c>
      <c r="C34" s="668" t="str">
        <f>"£m "&amp;$D$30</f>
        <v>£m 21/22</v>
      </c>
      <c r="D34" s="559">
        <v>4217.8</v>
      </c>
      <c r="E34" s="393"/>
      <c r="F34" s="393"/>
      <c r="I34" s="431"/>
    </row>
    <row r="35" spans="2:9">
      <c r="C35" s="669"/>
      <c r="D35" s="611"/>
      <c r="E35" s="393"/>
      <c r="F35" s="393"/>
      <c r="I35" s="431"/>
    </row>
    <row r="36" spans="2:9">
      <c r="B36" s="103" t="s">
        <v>806</v>
      </c>
      <c r="C36" s="668" t="str">
        <f>"£m "&amp;$D$30</f>
        <v>£m 21/22</v>
      </c>
      <c r="D36" s="559">
        <v>852.4</v>
      </c>
      <c r="I36" s="431"/>
    </row>
    <row r="37" spans="2:9">
      <c r="B37" s="103" t="s">
        <v>807</v>
      </c>
      <c r="C37" s="668" t="str">
        <f>"£m "&amp;$D$30</f>
        <v>£m 21/22</v>
      </c>
      <c r="D37" s="559">
        <v>4061.3999999999996</v>
      </c>
      <c r="I37" s="431"/>
    </row>
    <row r="38" spans="2:9">
      <c r="C38" s="669"/>
      <c r="D38" s="611"/>
      <c r="I38" s="431"/>
    </row>
    <row r="39" spans="2:9">
      <c r="B39" s="535" t="s">
        <v>808</v>
      </c>
      <c r="C39" s="668" t="str">
        <f>"£m "&amp;$D$30</f>
        <v>£m 21/22</v>
      </c>
      <c r="D39" s="225">
        <f>D33-D36</f>
        <v>63.199999999999932</v>
      </c>
      <c r="I39" s="431"/>
    </row>
    <row r="40" spans="2:9">
      <c r="B40" s="535" t="s">
        <v>809</v>
      </c>
      <c r="C40" s="668" t="str">
        <f>"£m "&amp;$D$30</f>
        <v>£m 21/22</v>
      </c>
      <c r="D40" s="225">
        <f>D34-D37</f>
        <v>156.40000000000055</v>
      </c>
      <c r="I40" s="431"/>
    </row>
    <row r="41" spans="2:9">
      <c r="C41" s="669"/>
      <c r="D41" s="611"/>
      <c r="I41" s="431"/>
    </row>
    <row r="42" spans="2:9">
      <c r="B42" s="103" t="s">
        <v>810</v>
      </c>
      <c r="C42" s="668" t="str">
        <f>"£m "&amp;$D$30</f>
        <v>£m 21/22</v>
      </c>
      <c r="D42" s="559">
        <v>166.1</v>
      </c>
      <c r="I42" s="431"/>
    </row>
    <row r="43" spans="2:9">
      <c r="B43" s="103" t="s">
        <v>811</v>
      </c>
      <c r="C43" s="668" t="str">
        <f>"£m "&amp;$D$30</f>
        <v>£m 21/22</v>
      </c>
      <c r="D43" s="559">
        <v>18.299999999999997</v>
      </c>
      <c r="I43" s="431"/>
    </row>
    <row r="44" spans="2:9">
      <c r="I44" s="431"/>
    </row>
    <row r="45" spans="2:9">
      <c r="I45" s="431"/>
    </row>
    <row r="46" spans="2:9">
      <c r="I46" s="431"/>
    </row>
    <row r="47" spans="2:9">
      <c r="B47" s="663" t="s">
        <v>812</v>
      </c>
      <c r="C47" s="356"/>
      <c r="D47" s="357"/>
      <c r="E47" s="357"/>
      <c r="F47" s="357"/>
      <c r="G47" s="357"/>
      <c r="H47" s="357"/>
      <c r="I47" s="431"/>
    </row>
    <row r="48" spans="2:9">
      <c r="I48" s="431"/>
    </row>
    <row r="49" spans="1:9">
      <c r="I49" s="431"/>
    </row>
    <row r="50" spans="1:9">
      <c r="I50" s="431"/>
    </row>
    <row r="51" spans="1:9">
      <c r="A51" s="303"/>
      <c r="B51" s="444"/>
      <c r="C51" s="444"/>
      <c r="D51" s="662" t="str">
        <f t="shared" ref="D51:H51" si="4">IF(D52&lt;=Reporting_Year,"Actuals","Forecast")</f>
        <v>Actuals</v>
      </c>
      <c r="E51" s="662" t="str">
        <f t="shared" si="4"/>
        <v>Forecast</v>
      </c>
      <c r="F51" s="662" t="str">
        <f t="shared" si="4"/>
        <v>Forecast</v>
      </c>
      <c r="G51" s="662" t="str">
        <f t="shared" si="4"/>
        <v>Forecast</v>
      </c>
      <c r="H51" s="662" t="str">
        <f t="shared" si="4"/>
        <v>Forecast</v>
      </c>
      <c r="I51" s="431"/>
    </row>
    <row r="52" spans="1:9">
      <c r="A52" s="303"/>
      <c r="B52" s="303"/>
      <c r="C52" s="393"/>
      <c r="D52" s="522">
        <f>'RFPR cover'!$C$6</f>
        <v>2024</v>
      </c>
      <c r="E52" s="522">
        <f t="shared" ref="E52:H52" si="5">D52+1</f>
        <v>2025</v>
      </c>
      <c r="F52" s="522">
        <f t="shared" si="5"/>
        <v>2026</v>
      </c>
      <c r="G52" s="522">
        <f t="shared" si="5"/>
        <v>2027</v>
      </c>
      <c r="H52" s="522">
        <f t="shared" si="5"/>
        <v>2028</v>
      </c>
      <c r="I52" s="431"/>
    </row>
    <row r="53" spans="1:9">
      <c r="D53" s="670"/>
      <c r="E53" s="670"/>
      <c r="F53" s="670"/>
      <c r="G53" s="670"/>
      <c r="H53" s="670"/>
      <c r="I53" s="431"/>
    </row>
    <row r="54" spans="1:9">
      <c r="B54" s="446" t="s">
        <v>813</v>
      </c>
      <c r="C54" s="595" t="str">
        <f>Data!$C$9</f>
        <v>£m 20/21</v>
      </c>
      <c r="D54" s="226">
        <f>(D$62+D$67)/INDEX(real_to_nominal_CF,MATCH('R10 - Pensions &amp; Oth Activities'!D52,calendar_year,0))</f>
        <v>3.7343084035862895E-2</v>
      </c>
      <c r="E54" s="226">
        <f>(E$62+E$67)/INDEX(real_to_nominal_CF,MATCH('R10 - Pensions &amp; Oth Activities'!E52,calendar_year,0))</f>
        <v>0</v>
      </c>
      <c r="F54" s="226">
        <f>(F$62+F$67)/INDEX(real_to_nominal_CF,MATCH('R10 - Pensions &amp; Oth Activities'!F52,calendar_year,0))</f>
        <v>0</v>
      </c>
      <c r="G54" s="226">
        <f>(G$62+G$67)/INDEX(real_to_nominal_CF,MATCH('R10 - Pensions &amp; Oth Activities'!G52,calendar_year,0))</f>
        <v>0</v>
      </c>
      <c r="H54" s="226">
        <f>(H$62+H$67)/INDEX(real_to_nominal_CF,MATCH('R10 - Pensions &amp; Oth Activities'!H52,calendar_year,0))</f>
        <v>0</v>
      </c>
      <c r="I54" s="431"/>
    </row>
    <row r="55" spans="1:9">
      <c r="D55" s="670"/>
      <c r="E55" s="670"/>
      <c r="F55" s="670"/>
      <c r="G55" s="670"/>
      <c r="H55" s="670"/>
    </row>
    <row r="56" spans="1:9">
      <c r="B56" s="393" t="s">
        <v>814</v>
      </c>
      <c r="D56" s="670"/>
      <c r="E56" s="670"/>
      <c r="F56" s="670"/>
      <c r="G56" s="670"/>
      <c r="H56" s="670"/>
    </row>
    <row r="57" spans="1:9">
      <c r="B57" s="671" t="s">
        <v>815</v>
      </c>
      <c r="C57" s="29" t="s">
        <v>507</v>
      </c>
      <c r="D57" s="457">
        <v>0</v>
      </c>
      <c r="E57" s="457">
        <v>0</v>
      </c>
      <c r="F57" s="457">
        <v>0</v>
      </c>
      <c r="G57" s="457">
        <v>0</v>
      </c>
      <c r="H57" s="457">
        <v>0</v>
      </c>
    </row>
    <row r="58" spans="1:9">
      <c r="B58" s="671" t="s">
        <v>815</v>
      </c>
      <c r="C58" s="29" t="s">
        <v>507</v>
      </c>
      <c r="D58" s="457">
        <v>0</v>
      </c>
      <c r="E58" s="457">
        <v>0</v>
      </c>
      <c r="F58" s="457">
        <v>0</v>
      </c>
      <c r="G58" s="457">
        <v>0</v>
      </c>
      <c r="H58" s="457">
        <v>0</v>
      </c>
    </row>
    <row r="59" spans="1:9">
      <c r="B59" s="671" t="s">
        <v>731</v>
      </c>
      <c r="C59" s="29" t="s">
        <v>507</v>
      </c>
      <c r="D59" s="457">
        <v>0</v>
      </c>
      <c r="E59" s="457">
        <v>0</v>
      </c>
      <c r="F59" s="457">
        <v>0</v>
      </c>
      <c r="G59" s="457">
        <v>0</v>
      </c>
      <c r="H59" s="457">
        <v>0</v>
      </c>
    </row>
    <row r="60" spans="1:9">
      <c r="B60" s="393" t="s">
        <v>816</v>
      </c>
      <c r="C60" s="29" t="s">
        <v>507</v>
      </c>
      <c r="D60" s="226">
        <f t="shared" ref="D60:H60" si="6">SUM(D57:D59)</f>
        <v>0</v>
      </c>
      <c r="E60" s="226">
        <f t="shared" si="6"/>
        <v>0</v>
      </c>
      <c r="F60" s="226">
        <f t="shared" si="6"/>
        <v>0</v>
      </c>
      <c r="G60" s="226">
        <f t="shared" si="6"/>
        <v>0</v>
      </c>
      <c r="H60" s="226">
        <f t="shared" si="6"/>
        <v>0</v>
      </c>
    </row>
    <row r="61" spans="1:9">
      <c r="B61" s="303" t="s">
        <v>817</v>
      </c>
      <c r="C61" s="29" t="s">
        <v>507</v>
      </c>
      <c r="D61" s="457">
        <v>0</v>
      </c>
      <c r="E61" s="457">
        <v>0</v>
      </c>
      <c r="F61" s="457">
        <v>0</v>
      </c>
      <c r="G61" s="457">
        <v>0</v>
      </c>
      <c r="H61" s="457">
        <v>0</v>
      </c>
    </row>
    <row r="62" spans="1:9">
      <c r="B62" s="446" t="s">
        <v>818</v>
      </c>
      <c r="C62" s="29" t="s">
        <v>507</v>
      </c>
      <c r="D62" s="226">
        <f t="shared" ref="D62:H62" si="7">D60-D61</f>
        <v>0</v>
      </c>
      <c r="E62" s="226">
        <f t="shared" si="7"/>
        <v>0</v>
      </c>
      <c r="F62" s="226">
        <f t="shared" si="7"/>
        <v>0</v>
      </c>
      <c r="G62" s="226">
        <f t="shared" si="7"/>
        <v>0</v>
      </c>
      <c r="H62" s="226">
        <f t="shared" si="7"/>
        <v>0</v>
      </c>
    </row>
    <row r="64" spans="1:9">
      <c r="B64" s="393" t="s">
        <v>819</v>
      </c>
      <c r="D64" s="670"/>
      <c r="E64" s="670"/>
      <c r="F64" s="670"/>
      <c r="G64" s="670"/>
      <c r="H64" s="670"/>
    </row>
    <row r="65" spans="2:8">
      <c r="B65" s="671" t="s">
        <v>820</v>
      </c>
      <c r="C65" s="29" t="s">
        <v>507</v>
      </c>
      <c r="D65" s="457">
        <v>5.9040000000000002E-2</v>
      </c>
      <c r="E65" s="457">
        <v>0</v>
      </c>
      <c r="F65" s="457">
        <v>0</v>
      </c>
      <c r="G65" s="457">
        <v>0</v>
      </c>
      <c r="H65" s="457">
        <v>0</v>
      </c>
    </row>
    <row r="66" spans="2:8">
      <c r="B66" s="303" t="s">
        <v>817</v>
      </c>
      <c r="C66" s="29" t="s">
        <v>507</v>
      </c>
      <c r="D66" s="457">
        <v>1.1217600000000001E-2</v>
      </c>
      <c r="E66" s="457">
        <v>0</v>
      </c>
      <c r="F66" s="457">
        <v>0</v>
      </c>
      <c r="G66" s="457">
        <v>0</v>
      </c>
      <c r="H66" s="457">
        <v>0</v>
      </c>
    </row>
    <row r="67" spans="2:8">
      <c r="B67" s="446" t="s">
        <v>821</v>
      </c>
      <c r="C67" s="29" t="s">
        <v>507</v>
      </c>
      <c r="D67" s="226">
        <f t="shared" ref="D67:H67" si="8">D65-D66</f>
        <v>4.7822400000000001E-2</v>
      </c>
      <c r="E67" s="226">
        <f t="shared" si="8"/>
        <v>0</v>
      </c>
      <c r="F67" s="226">
        <f t="shared" si="8"/>
        <v>0</v>
      </c>
      <c r="G67" s="226">
        <f t="shared" si="8"/>
        <v>0</v>
      </c>
      <c r="H67" s="226">
        <f t="shared" si="8"/>
        <v>0</v>
      </c>
    </row>
  </sheetData>
  <sheetProtection insertRows="0" sort="0" autoFilter="0" pivotTables="0"/>
  <mergeCells count="1">
    <mergeCell ref="D25:D27"/>
  </mergeCells>
  <conditionalFormatting sqref="D25">
    <cfRule type="expression" dxfId="8" priority="10">
      <formula>AND(E$4="Actuals",F$4="Forecast")</formula>
    </cfRule>
  </conditionalFormatting>
  <conditionalFormatting sqref="D5:G6 I5:I12 I14:I54 D51:G52">
    <cfRule type="expression" dxfId="7" priority="13">
      <formula>AND(D$5="Actuals",E$5="Forecast")</formula>
    </cfRule>
  </conditionalFormatting>
  <conditionalFormatting sqref="D6:G6 D52:G52">
    <cfRule type="expression" dxfId="6" priority="20">
      <formula>AND(D$4="Actuals",E$4="Forecast")</formula>
    </cfRule>
  </conditionalFormatting>
  <conditionalFormatting sqref="D7:H7">
    <cfRule type="expression" dxfId="5" priority="1">
      <formula>AND(D$5="Actuals",E$5="Forecast")</formula>
    </cfRule>
  </conditionalFormatting>
  <conditionalFormatting sqref="D12:H12 D14:H15">
    <cfRule type="expression" dxfId="4" priority="14">
      <formula>D$5="Forecast"</formula>
    </cfRule>
    <cfRule type="expression" dxfId="3" priority="15">
      <formula>D$5="Actuals"</formula>
    </cfRule>
  </conditionalFormatting>
  <conditionalFormatting sqref="H5:H6 H51:H52">
    <cfRule type="expression" dxfId="2" priority="274">
      <formula>AND(H$5="Actuals",#REF!="Forecast")</formula>
    </cfRule>
  </conditionalFormatting>
  <conditionalFormatting sqref="H6 H52">
    <cfRule type="expression" dxfId="1" priority="266">
      <formula>AND(H$4="Actuals",#REF!="Forecast")</formula>
    </cfRule>
  </conditionalFormatting>
  <conditionalFormatting sqref="J17:J22">
    <cfRule type="expression" dxfId="0" priority="286">
      <formula>AND(I$5="Actuals",J$5="Forecast")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&amp;C_x000D_&amp;1#&amp;"Calibri"&amp;12&amp;K008000 Internal Use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dlc_DocId xmlns="190aea0a-3449-4e78-9ae2-f45d94fe98b1">UKNKSTZ3DXTH-1458173041-230</_dlc_DocId>
    <_dlc_DocIdUrl xmlns="190aea0a-3449-4e78-9ae2-f45d94fe98b1">
      <Url>https://iberdrola.sharepoint.com/sites/spen-npr-licfin/_layouts/15/DocIdRedir.aspx?ID=UKNKSTZ3DXTH-1458173041-230</Url>
      <Description>UKNKSTZ3DXTH-1458173041-230</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00A22CDD172B4045B2E24AB67C8254A8" ma:contentTypeVersion="4" ma:contentTypeDescription="Create a new document." ma:contentTypeScope="" ma:versionID="344d69695d16e7fd656df662df7b9787">
  <xsd:schema xmlns:xsd="http://www.w3.org/2001/XMLSchema" xmlns:xs="http://www.w3.org/2001/XMLSchema" xmlns:p="http://schemas.microsoft.com/office/2006/metadata/properties" xmlns:ns2="190aea0a-3449-4e78-9ae2-f45d94fe98b1" xmlns:ns3="49294458-4cfd-4f73-81be-0fbc7f71774c" targetNamespace="http://schemas.microsoft.com/office/2006/metadata/properties" ma:root="true" ma:fieldsID="1d68e382278343f02893f6c7e8203b54" ns2:_="" ns3:_="">
    <xsd:import namespace="190aea0a-3449-4e78-9ae2-f45d94fe98b1"/>
    <xsd:import namespace="49294458-4cfd-4f73-81be-0fbc7f71774c"/>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0aea0a-3449-4e78-9ae2-f45d94fe98b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9294458-4cfd-4f73-81be-0fbc7f71774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9F991210-E616-40D8-80E5-2099EECD474C}">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ED8114B6-BDD8-4CB5-AA20-4A909702B5CF}">
  <ds:schemaRefs>
    <ds:schemaRef ds:uri="http://schemas.microsoft.com/DataMashup"/>
  </ds:schemaRefs>
</ds:datastoreItem>
</file>

<file path=customXml/itemProps4.xml><?xml version="1.0" encoding="utf-8"?>
<ds:datastoreItem xmlns:ds="http://schemas.openxmlformats.org/officeDocument/2006/customXml" ds:itemID="{CC285FE4-1466-4BF7-8FA9-67F63A3D57B8}">
  <ds:schemaRefs>
    <ds:schemaRef ds:uri="http://purl.org/dc/elements/1.1/"/>
    <ds:schemaRef ds:uri="http://schemas.openxmlformats.org/package/2006/metadata/core-properties"/>
    <ds:schemaRef ds:uri="http://schemas.microsoft.com/office/infopath/2007/PartnerControls"/>
    <ds:schemaRef ds:uri="http://purl.org/dc/terms/"/>
    <ds:schemaRef ds:uri="49294458-4cfd-4f73-81be-0fbc7f71774c"/>
    <ds:schemaRef ds:uri="http://schemas.microsoft.com/office/2006/documentManagement/types"/>
    <ds:schemaRef ds:uri="190aea0a-3449-4e78-9ae2-f45d94fe98b1"/>
    <ds:schemaRef ds:uri="http://schemas.microsoft.com/office/2006/metadata/properties"/>
    <ds:schemaRef ds:uri="http://www.w3.org/XML/1998/namespace"/>
    <ds:schemaRef ds:uri="http://purl.org/dc/dcmitype/"/>
  </ds:schemaRefs>
</ds:datastoreItem>
</file>

<file path=customXml/itemProps5.xml><?xml version="1.0" encoding="utf-8"?>
<ds:datastoreItem xmlns:ds="http://schemas.openxmlformats.org/officeDocument/2006/customXml" ds:itemID="{7971657C-CF10-42C1-9210-CCC093D8EE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0aea0a-3449-4e78-9ae2-f45d94fe98b1"/>
    <ds:schemaRef ds:uri="49294458-4cfd-4f73-81be-0fbc7f7177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40DC4EDF-AC94-4998-9AE2-F4D735A24A8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62</vt:i4>
      </vt:variant>
    </vt:vector>
  </HeadingPairs>
  <TitlesOfParts>
    <vt:vector size="76"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R6 - Net Debt</vt:lpstr>
      <vt:lpstr>R7 - RAV</vt:lpstr>
      <vt:lpstr>R8 - Tax</vt:lpstr>
      <vt:lpstr>R9 - Corporate Governance</vt:lpstr>
      <vt:lpstr>R10 - Pensions &amp; Oth Activities</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'R6 - Net Debt'!Print_Area</vt:lpstr>
      <vt:lpstr>'R7 - RAV'!Print_Area</vt:lpstr>
      <vt:lpstr>'R8 - Tax'!Print_Area</vt:lpstr>
      <vt:lpstr>'R9 - Corporate Governance'!Print_Area</vt:lpstr>
      <vt:lpstr>'RFPR cover'!Print_Area</vt:lpstr>
      <vt:lpstr>real_to_nominal_CF</vt:lpstr>
      <vt:lpstr>Reporting_Year</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 template v.2.0</dc:title>
  <dc:subject/>
  <dc:creator>Mick Watson</dc:creator>
  <cp:keywords/>
  <dc:description/>
  <cp:lastModifiedBy>MILLAR, STEPHEN</cp:lastModifiedBy>
  <cp:revision/>
  <dcterms:created xsi:type="dcterms:W3CDTF">2018-06-13T08:32:09Z</dcterms:created>
  <dcterms:modified xsi:type="dcterms:W3CDTF">2024-09-27T12:56:44Z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ed809614-687b-4dae-a925-e5846428ac42</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0x01010000A22CDD172B4045B2E24AB67C8254A8</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y fmtid="{D5CDD505-2E9C-101B-9397-08002B2CF9AE}" pid="32" name="Comparison_Data2RowInsertions47">
    <vt:lpwstr/>
  </property>
  <property fmtid="{D5CDD505-2E9C-101B-9397-08002B2CF9AE}" pid="33" name="Comparison_Data2ColumnInsertions48">
    <vt:lpwstr/>
  </property>
  <property fmtid="{D5CDD505-2E9C-101B-9397-08002B2CF9AE}" pid="34" name="Comparison_Content &amp; Version Control3RowInsertions49">
    <vt:lpwstr/>
  </property>
  <property fmtid="{D5CDD505-2E9C-101B-9397-08002B2CF9AE}" pid="35" name="Comparison_Content &amp; Version Control3ColumnInsertions50">
    <vt:lpwstr/>
  </property>
  <property fmtid="{D5CDD505-2E9C-101B-9397-08002B2CF9AE}" pid="36" name="Comparison_Change log4RowInsertions51">
    <vt:lpwstr/>
  </property>
  <property fmtid="{D5CDD505-2E9C-101B-9397-08002B2CF9AE}" pid="37" name="Comparison_Change log4ColumnInsertions52">
    <vt:lpwstr/>
  </property>
  <property fmtid="{D5CDD505-2E9C-101B-9397-08002B2CF9AE}" pid="38" name="Comparison_R1 - RoRE5RowInsertions53">
    <vt:lpwstr/>
  </property>
  <property fmtid="{D5CDD505-2E9C-101B-9397-08002B2CF9AE}" pid="39" name="Comparison_R1 - RoRE5ColumnInsertions54">
    <vt:lpwstr/>
  </property>
  <property fmtid="{D5CDD505-2E9C-101B-9397-08002B2CF9AE}" pid="40" name="Comparison_R2 - Rec to Revenue and Profit6RowInsertions55">
    <vt:lpwstr/>
  </property>
  <property fmtid="{D5CDD505-2E9C-101B-9397-08002B2CF9AE}" pid="41" name="Comparison_R2 - Rec to Revenue and Profit6ColumnInsertions56">
    <vt:lpwstr/>
  </property>
  <property fmtid="{D5CDD505-2E9C-101B-9397-08002B2CF9AE}" pid="42" name="Comparison_R3 - Totex - Reconciliation7RowInsertions57">
    <vt:lpwstr/>
  </property>
  <property fmtid="{D5CDD505-2E9C-101B-9397-08002B2CF9AE}" pid="43" name="Comparison_R3 - Totex - Reconciliation7ColumnInsertions58">
    <vt:lpwstr/>
  </property>
  <property fmtid="{D5CDD505-2E9C-101B-9397-08002B2CF9AE}" pid="44" name="Comparison_R4 - Incentives and Other Rev8RowInsertions59">
    <vt:lpwstr/>
  </property>
  <property fmtid="{D5CDD505-2E9C-101B-9397-08002B2CF9AE}" pid="45" name="Comparison_R4 - Incentives and Other Rev8ColumnInsertions60">
    <vt:lpwstr/>
  </property>
  <property fmtid="{D5CDD505-2E9C-101B-9397-08002B2CF9AE}" pid="46" name="Comparison_R5 - Financing9RowInsertions61">
    <vt:lpwstr/>
  </property>
  <property fmtid="{D5CDD505-2E9C-101B-9397-08002B2CF9AE}" pid="47" name="Comparison_R5 - Financing9ColumnInsertions62">
    <vt:lpwstr/>
  </property>
  <property fmtid="{D5CDD505-2E9C-101B-9397-08002B2CF9AE}" pid="48" name="Comparison_R5a - Financing input10RowInsertions63">
    <vt:lpwstr/>
  </property>
  <property fmtid="{D5CDD505-2E9C-101B-9397-08002B2CF9AE}" pid="49" name="Comparison_R5a - Financing input10ColumnInsertions64">
    <vt:lpwstr/>
  </property>
  <property fmtid="{D5CDD505-2E9C-101B-9397-08002B2CF9AE}" pid="50" name="Comparison_R6 - Net Debt11RowInsertions65">
    <vt:lpwstr/>
  </property>
  <property fmtid="{D5CDD505-2E9C-101B-9397-08002B2CF9AE}" pid="51" name="Comparison_R6 - Net Debt11ColumnInsertions66">
    <vt:lpwstr/>
  </property>
  <property fmtid="{D5CDD505-2E9C-101B-9397-08002B2CF9AE}" pid="52" name="Comparison_R6a - Net Debt input12RowInsertions67">
    <vt:lpwstr/>
  </property>
  <property fmtid="{D5CDD505-2E9C-101B-9397-08002B2CF9AE}" pid="53" name="Comparison_R6a - Net Debt input12ColumnInsertions68">
    <vt:lpwstr/>
  </property>
  <property fmtid="{D5CDD505-2E9C-101B-9397-08002B2CF9AE}" pid="54" name="Comparison_R7 - RAV13RowInsertions69">
    <vt:lpwstr/>
  </property>
  <property fmtid="{D5CDD505-2E9C-101B-9397-08002B2CF9AE}" pid="55" name="Comparison_R7 - RAV13ColumnInsertions70">
    <vt:lpwstr/>
  </property>
  <property fmtid="{D5CDD505-2E9C-101B-9397-08002B2CF9AE}" pid="56" name="Comparison_R8 - Tax14RowInsertions71">
    <vt:lpwstr/>
  </property>
  <property fmtid="{D5CDD505-2E9C-101B-9397-08002B2CF9AE}" pid="57" name="Comparison_R8 - Tax14ColumnInsertions72">
    <vt:lpwstr/>
  </property>
  <property fmtid="{D5CDD505-2E9C-101B-9397-08002B2CF9AE}" pid="58" name="Comparison_R8a - Tax Reconciliation15RowInsertions73">
    <vt:lpwstr/>
  </property>
  <property fmtid="{D5CDD505-2E9C-101B-9397-08002B2CF9AE}" pid="59" name="Comparison_R8a - Tax Reconciliation15ColumnInsertions74">
    <vt:lpwstr/>
  </property>
  <property fmtid="{D5CDD505-2E9C-101B-9397-08002B2CF9AE}" pid="60" name="Comparison_R9 - Corporate Governance16RowInsertions75">
    <vt:lpwstr/>
  </property>
  <property fmtid="{D5CDD505-2E9C-101B-9397-08002B2CF9AE}" pid="61" name="Comparison_R9 - Corporate Governance16ColumnInsertions76">
    <vt:lpwstr/>
  </property>
  <property fmtid="{D5CDD505-2E9C-101B-9397-08002B2CF9AE}" pid="62" name="Comparison_R10 - Pensions &amp; Oth Activities17RowInsertions77">
    <vt:lpwstr/>
  </property>
  <property fmtid="{D5CDD505-2E9C-101B-9397-08002B2CF9AE}" pid="63" name="Comparison_R10 - Pensions &amp; Oth Activities17ColumnInsertions78">
    <vt:lpwstr/>
  </property>
  <property fmtid="{D5CDD505-2E9C-101B-9397-08002B2CF9AE}" pid="64" name="Comparison_Input sheets for R5a and R6a&gt;&gt;&gt;18RowInsertions79">
    <vt:lpwstr/>
  </property>
  <property fmtid="{D5CDD505-2E9C-101B-9397-08002B2CF9AE}" pid="65" name="Comparison_Input sheets for R5a and R6a&gt;&gt;&gt;18ColumnInsertions80">
    <vt:lpwstr/>
  </property>
  <property fmtid="{D5CDD505-2E9C-101B-9397-08002B2CF9AE}" pid="66" name="Comparison_F3 - Fixed Rate Debt19RowInsertions81">
    <vt:lpwstr/>
  </property>
  <property fmtid="{D5CDD505-2E9C-101B-9397-08002B2CF9AE}" pid="67" name="Comparison_F3 - Fixed Rate Debt19ColumnInsertions82">
    <vt:lpwstr/>
  </property>
  <property fmtid="{D5CDD505-2E9C-101B-9397-08002B2CF9AE}" pid="68" name="Comparison_F4 - Floating Rate Debt20RowInsertions83">
    <vt:lpwstr/>
  </property>
  <property fmtid="{D5CDD505-2E9C-101B-9397-08002B2CF9AE}" pid="69" name="Comparison_F4 - Floating Rate Debt20ColumnInsertions84">
    <vt:lpwstr/>
  </property>
  <property fmtid="{D5CDD505-2E9C-101B-9397-08002B2CF9AE}" pid="70" name="Comparison_F5 - Inflation Linked Debt21RowInsertions85">
    <vt:lpwstr/>
  </property>
  <property fmtid="{D5CDD505-2E9C-101B-9397-08002B2CF9AE}" pid="71" name="Comparison_F5 - Inflation Linked Debt21ColumnInsertions86">
    <vt:lpwstr/>
  </property>
  <property fmtid="{D5CDD505-2E9C-101B-9397-08002B2CF9AE}" pid="72" name="Comparison_F6 - Debt Dataset22RowInsertions87">
    <vt:lpwstr/>
  </property>
  <property fmtid="{D5CDD505-2E9C-101B-9397-08002B2CF9AE}" pid="73" name="Comparison_F6 - Debt Dataset22ColumnInsertions88">
    <vt:lpwstr/>
  </property>
  <property fmtid="{D5CDD505-2E9C-101B-9397-08002B2CF9AE}" pid="74" name="Comparison_I1 - Universal Data23RowInsertions89">
    <vt:lpwstr/>
  </property>
  <property fmtid="{D5CDD505-2E9C-101B-9397-08002B2CF9AE}" pid="75" name="Comparison_I1 - Universal Data23ColumnInsertions90">
    <vt:lpwstr/>
  </property>
  <property fmtid="{D5CDD505-2E9C-101B-9397-08002B2CF9AE}" pid="76" name="Comparison_I2 - Monthly Inflation24RowInsertions91">
    <vt:lpwstr/>
  </property>
  <property fmtid="{D5CDD505-2E9C-101B-9397-08002B2CF9AE}" pid="77" name="Comparison_I2 - Monthly Inflation24ColumnInsertions92">
    <vt:lpwstr/>
  </property>
  <property fmtid="{D5CDD505-2E9C-101B-9397-08002B2CF9AE}" pid="78" name="xd_ProgID">
    <vt:lpwstr/>
  </property>
  <property fmtid="{D5CDD505-2E9C-101B-9397-08002B2CF9AE}" pid="79" name="ComplianceAssetId">
    <vt:lpwstr/>
  </property>
  <property fmtid="{D5CDD505-2E9C-101B-9397-08002B2CF9AE}" pid="80" name="TemplateUrl">
    <vt:lpwstr/>
  </property>
  <property fmtid="{D5CDD505-2E9C-101B-9397-08002B2CF9AE}" pid="81" name="xd_Signature">
    <vt:bool>false</vt:bool>
  </property>
  <property fmtid="{D5CDD505-2E9C-101B-9397-08002B2CF9AE}" pid="82" name="TriggerFlowInfo">
    <vt:lpwstr/>
  </property>
  <property fmtid="{D5CDD505-2E9C-101B-9397-08002B2CF9AE}" pid="83" name="Order">
    <vt:r8>1664200</vt:r8>
  </property>
  <property fmtid="{D5CDD505-2E9C-101B-9397-08002B2CF9AE}" pid="84" name="Year">
    <vt:lpwstr>2023</vt:lpwstr>
  </property>
  <property fmtid="{D5CDD505-2E9C-101B-9397-08002B2CF9AE}" pid="85" name="MSIP_Label_019c027e-33b7-45fc-a572-8ffa5d09ec36_Enabled">
    <vt:lpwstr>true</vt:lpwstr>
  </property>
  <property fmtid="{D5CDD505-2E9C-101B-9397-08002B2CF9AE}" pid="86" name="MSIP_Label_019c027e-33b7-45fc-a572-8ffa5d09ec36_SetDate">
    <vt:lpwstr>2024-06-28T15:19:22Z</vt:lpwstr>
  </property>
  <property fmtid="{D5CDD505-2E9C-101B-9397-08002B2CF9AE}" pid="87" name="MSIP_Label_019c027e-33b7-45fc-a572-8ffa5d09ec36_Method">
    <vt:lpwstr>Standard</vt:lpwstr>
  </property>
  <property fmtid="{D5CDD505-2E9C-101B-9397-08002B2CF9AE}" pid="88" name="MSIP_Label_019c027e-33b7-45fc-a572-8ffa5d09ec36_Name">
    <vt:lpwstr>Internal Use</vt:lpwstr>
  </property>
  <property fmtid="{D5CDD505-2E9C-101B-9397-08002B2CF9AE}" pid="89" name="MSIP_Label_019c027e-33b7-45fc-a572-8ffa5d09ec36_SiteId">
    <vt:lpwstr>031a09bc-a2bf-44df-888e-4e09355b7a24</vt:lpwstr>
  </property>
  <property fmtid="{D5CDD505-2E9C-101B-9397-08002B2CF9AE}" pid="90" name="MSIP_Label_019c027e-33b7-45fc-a572-8ffa5d09ec36_ActionId">
    <vt:lpwstr>1b116ded-cebc-44fb-af1f-2d93ba1cf0fc</vt:lpwstr>
  </property>
  <property fmtid="{D5CDD505-2E9C-101B-9397-08002B2CF9AE}" pid="91" name="MSIP_Label_019c027e-33b7-45fc-a572-8ffa5d09ec36_ContentBits">
    <vt:lpwstr>2</vt:lpwstr>
  </property>
  <property fmtid="{D5CDD505-2E9C-101B-9397-08002B2CF9AE}" pid="92" name="_dlc_DocIdItemGuid">
    <vt:lpwstr>3a13fcd1-c8b7-4f0a-aa2e-8fec689f0216</vt:lpwstr>
  </property>
</Properties>
</file>