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userName="Holland, David" algorithmName="SHA-512" hashValue="eVQS+XcQroFvgW6tRrpFy1JeTaebwMFRHRPcdg45wSqOn9jqerBkpMh+6pV2dHfBOyVLBSc/VR+T4pzwQcuprw==" saltValue="pJVaNSyOHoDLdnx0H/S0kA==" spinCount="100000"/>
  <workbookPr codeName="ThisWorkbook"/>
  <mc:AlternateContent xmlns:mc="http://schemas.openxmlformats.org/markup-compatibility/2006">
    <mc:Choice Requires="x15">
      <x15ac:absPath xmlns:x15ac="http://schemas.microsoft.com/office/spreadsheetml/2010/11/ac" url="http://spwshare/ensites/reg/licfin/RFPR 2021/01_Consol/02_Final/Website/"/>
    </mc:Choice>
  </mc:AlternateContent>
  <xr:revisionPtr revIDLastSave="0" documentId="13_ncr:10001_{28A50460-AF5E-4BF4-9B56-71D4B3A81491}" xr6:coauthVersionLast="44" xr6:coauthVersionMax="45" xr10:uidLastSave="{00000000-0000-0000-0000-000000000000}"/>
  <bookViews>
    <workbookView xWindow="-28920" yWindow="-12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 i="28" l="1"/>
  <c r="B21" i="1" l="1"/>
  <c r="B3" i="1" l="1"/>
  <c r="E50" i="29" l="1"/>
  <c r="F50" i="29"/>
  <c r="G50" i="29"/>
  <c r="H50" i="29"/>
  <c r="I50" i="29"/>
  <c r="J50" i="29"/>
  <c r="K50" i="29"/>
  <c r="D50" i="29"/>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I8" i="27"/>
  <c r="H8" i="27"/>
  <c r="K52" i="27"/>
  <c r="J52" i="27"/>
  <c r="I52" i="27"/>
  <c r="H52" i="27"/>
  <c r="G52" i="27"/>
  <c r="F52" i="27"/>
  <c r="E52" i="27"/>
  <c r="D52" i="27"/>
  <c r="B3" i="27"/>
  <c r="A3" i="27"/>
  <c r="A2" i="27"/>
  <c r="L6" i="17"/>
  <c r="B3" i="17"/>
  <c r="A3" i="17"/>
  <c r="A2" i="17"/>
  <c r="K17" i="3"/>
  <c r="K18" i="4" s="1"/>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I65" i="5" s="1"/>
  <c r="A61" i="5"/>
  <c r="I61" i="5" s="1"/>
  <c r="A57" i="5"/>
  <c r="I57" i="5" s="1"/>
  <c r="A53" i="5"/>
  <c r="I53" i="5" s="1"/>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H58" i="2" s="1"/>
  <c r="G44" i="2"/>
  <c r="F44" i="2"/>
  <c r="E44" i="2"/>
  <c r="D44"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I66" i="4" s="1"/>
  <c r="I68" i="4" s="1"/>
  <c r="H45" i="4"/>
  <c r="H66" i="4" s="1"/>
  <c r="H68" i="4" s="1"/>
  <c r="G45" i="4"/>
  <c r="G66" i="4" s="1"/>
  <c r="G68" i="4" s="1"/>
  <c r="F45" i="4"/>
  <c r="F66" i="4" s="1"/>
  <c r="F68" i="4" s="1"/>
  <c r="E45" i="4"/>
  <c r="E66" i="4" s="1"/>
  <c r="E68" i="4" s="1"/>
  <c r="D45" i="4"/>
  <c r="D66" i="4" s="1"/>
  <c r="D68" i="4" s="1"/>
  <c r="K28" i="4"/>
  <c r="J28"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F157" i="28" s="1"/>
  <c r="B192" i="28"/>
  <c r="F156" i="28" s="1"/>
  <c r="E182" i="28"/>
  <c r="F155" i="28" s="1"/>
  <c r="B182" i="28"/>
  <c r="F154" i="28" s="1"/>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E156" i="28" l="1"/>
  <c r="C14" i="13"/>
  <c r="C42" i="2" s="1"/>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E58" i="2"/>
  <c r="I58" i="2"/>
  <c r="M42" i="2"/>
  <c r="M14" i="2"/>
  <c r="E31" i="2"/>
  <c r="I31" i="2"/>
  <c r="G26" i="4"/>
  <c r="G28" i="4" s="1"/>
  <c r="F26" i="4"/>
  <c r="F28" i="4" s="1"/>
  <c r="J26" i="4"/>
  <c r="K26" i="4"/>
  <c r="D26" i="4"/>
  <c r="D28" i="4" s="1"/>
  <c r="H26" i="4"/>
  <c r="H28" i="4" s="1"/>
  <c r="M73" i="5"/>
  <c r="H28" i="17"/>
  <c r="H30" i="17" s="1"/>
  <c r="E26" i="4"/>
  <c r="E28" i="4" s="1"/>
  <c r="I26" i="4"/>
  <c r="I28" i="4" s="1"/>
  <c r="F31" i="2"/>
  <c r="M56" i="2"/>
  <c r="M18" i="5"/>
  <c r="E49" i="5"/>
  <c r="E57" i="5"/>
  <c r="E65" i="5"/>
  <c r="G19" i="2"/>
  <c r="K31" i="2"/>
  <c r="K47" i="2"/>
  <c r="E48" i="15"/>
  <c r="E80" i="15" s="1"/>
  <c r="G48" i="15"/>
  <c r="G80" i="15" s="1"/>
  <c r="I48" i="15"/>
  <c r="I80" i="15" s="1"/>
  <c r="K48" i="15"/>
  <c r="K80" i="15" s="1"/>
  <c r="F26" i="28"/>
  <c r="D48" i="15"/>
  <c r="D80" i="15" s="1"/>
  <c r="F48" i="15"/>
  <c r="F80" i="15" s="1"/>
  <c r="H48" i="15"/>
  <c r="H80" i="15" s="1"/>
  <c r="J48" i="15"/>
  <c r="J80" i="15" s="1"/>
  <c r="M28" i="2"/>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D19" i="2"/>
  <c r="J18" i="2"/>
  <c r="F46" i="2"/>
  <c r="D23" i="27"/>
  <c r="D42" i="27" s="1"/>
  <c r="K8" i="27"/>
  <c r="I70" i="29"/>
  <c r="I74" i="29" s="1"/>
  <c r="F70" i="29"/>
  <c r="F74" i="29" s="1"/>
  <c r="J70" i="29"/>
  <c r="J74" i="29" s="1"/>
  <c r="E70" i="29"/>
  <c r="E74" i="29" s="1"/>
  <c r="G70" i="29"/>
  <c r="G74" i="29" s="1"/>
  <c r="K70" i="29"/>
  <c r="K74" i="29" s="1"/>
  <c r="D70" i="29"/>
  <c r="D74" i="29" s="1"/>
  <c r="H70" i="29"/>
  <c r="H74" i="29" s="1"/>
  <c r="I59" i="2"/>
  <c r="K46" i="2"/>
  <c r="G18" i="2"/>
  <c r="K18" i="2"/>
  <c r="G30" i="2"/>
  <c r="F47" i="2"/>
  <c r="G31" i="2"/>
  <c r="E46" i="2"/>
  <c r="E62" i="2" s="1"/>
  <c r="I46" i="2"/>
  <c r="E59" i="2"/>
  <c r="E6" i="15"/>
  <c r="D5" i="15"/>
  <c r="D50" i="15" s="1"/>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I19" i="2"/>
  <c r="I30" i="2"/>
  <c r="G58" i="2"/>
  <c r="G59" i="2"/>
  <c r="K58" i="2"/>
  <c r="K59" i="2"/>
  <c r="G46" i="2"/>
  <c r="G62" i="2" s="1"/>
  <c r="G47" i="2"/>
  <c r="E18" i="2"/>
  <c r="I18" i="2"/>
  <c r="I34" i="2" s="1"/>
  <c r="F19" i="2"/>
  <c r="J19" i="2"/>
  <c r="E30" i="2"/>
  <c r="J30" i="2"/>
  <c r="J31" i="2"/>
  <c r="D59" i="2"/>
  <c r="D46" i="2"/>
  <c r="H59" i="2"/>
  <c r="H46" i="2"/>
  <c r="H62" i="2" s="1"/>
  <c r="H47" i="2"/>
  <c r="F18" i="2"/>
  <c r="K19" i="2"/>
  <c r="F30" i="2"/>
  <c r="K30" i="2"/>
  <c r="D47" i="2"/>
  <c r="D58" i="2"/>
  <c r="E47" i="2"/>
  <c r="I47" i="2"/>
  <c r="I63" i="2" s="1"/>
  <c r="E23" i="27"/>
  <c r="E42" i="27" s="1"/>
  <c r="E44" i="27" s="1"/>
  <c r="E48" i="27" s="1"/>
  <c r="F47" i="27" s="1"/>
  <c r="F23" i="27"/>
  <c r="F42" i="27" s="1"/>
  <c r="E8" i="27"/>
  <c r="F8" i="27"/>
  <c r="K23" i="27"/>
  <c r="K42" i="27" s="1"/>
  <c r="G23" i="27"/>
  <c r="G42" i="27" s="1"/>
  <c r="H23" i="27"/>
  <c r="H42" i="27" s="1"/>
  <c r="G8" i="27"/>
  <c r="I35" i="2" l="1"/>
  <c r="I62" i="2"/>
  <c r="K63" i="2"/>
  <c r="J23" i="27"/>
  <c r="J42" i="27" s="1"/>
  <c r="J44" i="27" s="1"/>
  <c r="J48" i="27" s="1"/>
  <c r="K47" i="27" s="1"/>
  <c r="H107" i="17"/>
  <c r="E35" i="2"/>
  <c r="J34" i="2"/>
  <c r="K35" i="2"/>
  <c r="K49" i="1" s="1"/>
  <c r="F35" i="2"/>
  <c r="G63" i="2"/>
  <c r="K62" i="2"/>
  <c r="K64" i="2" s="1"/>
  <c r="G35" i="2"/>
  <c r="F44" i="27"/>
  <c r="F48" i="27" s="1"/>
  <c r="G47" i="27" s="1"/>
  <c r="D44" i="27"/>
  <c r="D48" i="27" s="1"/>
  <c r="E47" i="27" s="1"/>
  <c r="E54" i="27" s="1"/>
  <c r="J28" i="17"/>
  <c r="J30" i="17" s="1"/>
  <c r="F62" i="2"/>
  <c r="E28" i="17"/>
  <c r="E30" i="17" s="1"/>
  <c r="D28" i="17"/>
  <c r="D30" i="17" s="1"/>
  <c r="F28" i="17"/>
  <c r="F30" i="17" s="1"/>
  <c r="I28" i="17"/>
  <c r="I30" i="17" s="1"/>
  <c r="K28" i="17"/>
  <c r="K30" i="17" s="1"/>
  <c r="G28" i="17"/>
  <c r="G30" i="17" s="1"/>
  <c r="M65" i="5"/>
  <c r="M49" i="5"/>
  <c r="M69" i="5"/>
  <c r="M61" i="5"/>
  <c r="M53" i="5"/>
  <c r="M57" i="5"/>
  <c r="B153" i="28"/>
  <c r="B11" i="5" s="1"/>
  <c r="G34" i="2"/>
  <c r="G69" i="2" s="1"/>
  <c r="K34" i="2"/>
  <c r="I64" i="2"/>
  <c r="J35" i="2"/>
  <c r="F63" i="2"/>
  <c r="M58" i="2"/>
  <c r="M59" i="2"/>
  <c r="H35" i="2"/>
  <c r="E63" i="2"/>
  <c r="E64" i="2" s="1"/>
  <c r="D78" i="2"/>
  <c r="E6" i="2"/>
  <c r="D5" i="2"/>
  <c r="D77" i="2"/>
  <c r="E6" i="27"/>
  <c r="D5" i="27"/>
  <c r="D5" i="20"/>
  <c r="E6" i="20"/>
  <c r="F6" i="15"/>
  <c r="E5" i="15"/>
  <c r="E50" i="15" s="1"/>
  <c r="K70" i="2"/>
  <c r="F34" i="2"/>
  <c r="I69" i="2"/>
  <c r="I36" i="2"/>
  <c r="H34" i="2"/>
  <c r="M31" i="2"/>
  <c r="D5" i="1"/>
  <c r="E6" i="1"/>
  <c r="E6" i="29"/>
  <c r="E5" i="29" s="1"/>
  <c r="D22" i="29"/>
  <c r="E6" i="10"/>
  <c r="E5" i="10" s="1"/>
  <c r="D40" i="10"/>
  <c r="D43" i="10" s="1"/>
  <c r="D47" i="10" s="1"/>
  <c r="D63" i="27" s="1"/>
  <c r="D32" i="10"/>
  <c r="D36" i="10"/>
  <c r="D63" i="2"/>
  <c r="M47" i="2"/>
  <c r="G64" i="2"/>
  <c r="D34" i="2"/>
  <c r="M18" i="2"/>
  <c r="H63" i="2"/>
  <c r="D62" i="2"/>
  <c r="M46" i="2"/>
  <c r="E34" i="2"/>
  <c r="I70" i="2"/>
  <c r="I49" i="1"/>
  <c r="M30"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K48" i="27" s="1"/>
  <c r="J8" i="27"/>
  <c r="I23" i="27"/>
  <c r="I42" i="27" s="1"/>
  <c r="G44" i="27"/>
  <c r="G48" i="27" s="1"/>
  <c r="H47" i="27" s="1"/>
  <c r="H44" i="27"/>
  <c r="H48" i="27" s="1"/>
  <c r="I47" i="27" s="1"/>
  <c r="E26" i="28"/>
  <c r="F27" i="28"/>
  <c r="E5" i="17"/>
  <c r="F6" i="17"/>
  <c r="K69" i="2" l="1"/>
  <c r="K54" i="27"/>
  <c r="E107" i="17"/>
  <c r="I107" i="17"/>
  <c r="G107" i="17"/>
  <c r="F107" i="17"/>
  <c r="K107" i="17"/>
  <c r="J107" i="17"/>
  <c r="D107" i="17"/>
  <c r="J36" i="2"/>
  <c r="G70" i="2"/>
  <c r="G71" i="2" s="1"/>
  <c r="F54" i="27"/>
  <c r="G36" i="2"/>
  <c r="G49" i="1"/>
  <c r="F70" i="2"/>
  <c r="D54" i="27"/>
  <c r="K36" i="2"/>
  <c r="H54" i="27"/>
  <c r="D45" i="10"/>
  <c r="D49" i="10" s="1"/>
  <c r="D46" i="10"/>
  <c r="D65" i="1" s="1"/>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E39" i="17" s="1"/>
  <c r="D35" i="28"/>
  <c r="E34" i="10" s="1"/>
  <c r="E38" i="10" s="1"/>
  <c r="D34" i="28"/>
  <c r="D32" i="28"/>
  <c r="F6" i="11"/>
  <c r="E5" i="11"/>
  <c r="F6" i="4"/>
  <c r="E5" i="4"/>
  <c r="B97" i="5"/>
  <c r="B44" i="5"/>
  <c r="B69" i="5"/>
  <c r="B91" i="5"/>
  <c r="B61" i="5"/>
  <c r="B42" i="5"/>
  <c r="B54" i="1" s="1"/>
  <c r="M62" i="2"/>
  <c r="D64" i="2"/>
  <c r="D69" i="2"/>
  <c r="D36" i="2"/>
  <c r="M34" i="2"/>
  <c r="F6" i="29"/>
  <c r="F5" i="29" s="1"/>
  <c r="E22" i="29"/>
  <c r="H64" i="2"/>
  <c r="J69" i="2"/>
  <c r="D35" i="10"/>
  <c r="D39" i="29"/>
  <c r="D41" i="17"/>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I71" i="2"/>
  <c r="G6" i="15"/>
  <c r="F5" i="15"/>
  <c r="F50" i="15" s="1"/>
  <c r="E5" i="27"/>
  <c r="F6" i="27"/>
  <c r="J49" i="1"/>
  <c r="D45" i="5"/>
  <c r="D44" i="5"/>
  <c r="D39" i="5"/>
  <c r="F6" i="3"/>
  <c r="E5" i="3"/>
  <c r="B85" i="5"/>
  <c r="B40" i="5"/>
  <c r="B52" i="1" s="1"/>
  <c r="B53" i="5"/>
  <c r="B100" i="5"/>
  <c r="B73" i="5"/>
  <c r="B45" i="5"/>
  <c r="E36" i="2"/>
  <c r="E69" i="2"/>
  <c r="D56" i="27"/>
  <c r="F69" i="2"/>
  <c r="F36" i="2"/>
  <c r="F6" i="20"/>
  <c r="E5" i="20"/>
  <c r="K71" i="2"/>
  <c r="I44" i="27"/>
  <c r="I48" i="27" s="1"/>
  <c r="J47" i="27" s="1"/>
  <c r="J54" i="27" s="1"/>
  <c r="G54" i="27"/>
  <c r="E27" i="28"/>
  <c r="G6" i="17"/>
  <c r="F5" i="17"/>
  <c r="D39" i="17" l="1"/>
  <c r="D65" i="17" s="1"/>
  <c r="E56" i="27"/>
  <c r="E55" i="27" s="1"/>
  <c r="J71" i="2"/>
  <c r="F71" i="2"/>
  <c r="D53" i="10"/>
  <c r="D50" i="10"/>
  <c r="D51" i="10" s="1"/>
  <c r="H71" i="2"/>
  <c r="E71" i="2"/>
  <c r="M70" i="2"/>
  <c r="D54" i="10"/>
  <c r="B33" i="1"/>
  <c r="B14" i="1"/>
  <c r="D46" i="5"/>
  <c r="D51" i="1"/>
  <c r="D13" i="1" s="1"/>
  <c r="G6" i="19"/>
  <c r="F5" i="19"/>
  <c r="G6" i="4"/>
  <c r="F5" i="4"/>
  <c r="E41" i="17"/>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71" i="2"/>
  <c r="M69" i="2"/>
  <c r="F5" i="11"/>
  <c r="G6" i="11"/>
  <c r="E65" i="17"/>
  <c r="G6" i="3"/>
  <c r="F5" i="3"/>
  <c r="G6" i="27"/>
  <c r="F5" i="27"/>
  <c r="G6" i="10"/>
  <c r="G5" i="10" s="1"/>
  <c r="F32" i="10"/>
  <c r="F40" i="10"/>
  <c r="F43" i="10" s="1"/>
  <c r="F47" i="10" s="1"/>
  <c r="E46" i="5"/>
  <c r="E51" i="1"/>
  <c r="G6" i="29"/>
  <c r="G5" i="29" s="1"/>
  <c r="F22" i="29"/>
  <c r="M64" i="2"/>
  <c r="E36" i="28"/>
  <c r="F39" i="17" s="1"/>
  <c r="E35" i="28"/>
  <c r="F34" i="10" s="1"/>
  <c r="F38" i="10" s="1"/>
  <c r="E34" i="28"/>
  <c r="E32" i="28"/>
  <c r="F33" i="28"/>
  <c r="B32" i="1"/>
  <c r="B13" i="1"/>
  <c r="D54" i="1"/>
  <c r="D16" i="1" s="1"/>
  <c r="N49" i="1"/>
  <c r="D11" i="1"/>
  <c r="D12" i="1"/>
  <c r="D18" i="1"/>
  <c r="D19" i="1"/>
  <c r="D80" i="17"/>
  <c r="D98" i="17" s="1"/>
  <c r="D57" i="10"/>
  <c r="I54" i="27"/>
  <c r="G5" i="17"/>
  <c r="H6" i="17"/>
  <c r="H5" i="17" s="1"/>
  <c r="D48" i="1" l="1"/>
  <c r="D10" i="1" s="1"/>
  <c r="D20" i="1" s="1"/>
  <c r="D43" i="17"/>
  <c r="E57" i="27"/>
  <c r="E47" i="29" s="1"/>
  <c r="F56" i="27"/>
  <c r="F57" i="27" s="1"/>
  <c r="E98" i="17"/>
  <c r="D58" i="10"/>
  <c r="D59" i="10" s="1"/>
  <c r="D55" i="10"/>
  <c r="M71" i="2"/>
  <c r="E23" i="29"/>
  <c r="E34" i="29" s="1"/>
  <c r="E43" i="17"/>
  <c r="E86" i="17" s="1"/>
  <c r="F41" i="17"/>
  <c r="F14" i="19"/>
  <c r="F35" i="10"/>
  <c r="F8" i="20"/>
  <c r="F57" i="1" s="1"/>
  <c r="F86" i="2"/>
  <c r="F28" i="3"/>
  <c r="F56" i="1" s="1"/>
  <c r="F39" i="29"/>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F34" i="28"/>
  <c r="F32" i="28"/>
  <c r="F65" i="17"/>
  <c r="G22" i="29"/>
  <c r="H6" i="29"/>
  <c r="H5" i="29" s="1"/>
  <c r="H6" i="27"/>
  <c r="G5" i="27"/>
  <c r="H6" i="11"/>
  <c r="G5" i="11"/>
  <c r="D41" i="29"/>
  <c r="D79" i="29" s="1"/>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89" i="29"/>
  <c r="D81" i="15"/>
  <c r="D82" i="15"/>
  <c r="F39" i="5"/>
  <c r="F44" i="5"/>
  <c r="H6" i="1"/>
  <c r="G5" i="1"/>
  <c r="D61" i="27"/>
  <c r="D64" i="27" s="1"/>
  <c r="D59" i="27"/>
  <c r="D62" i="27"/>
  <c r="D66" i="1" s="1"/>
  <c r="D47" i="29"/>
  <c r="E50" i="1"/>
  <c r="E86" i="29"/>
  <c r="E88" i="29"/>
  <c r="D86" i="17"/>
  <c r="I6" i="17"/>
  <c r="E62" i="27" l="1"/>
  <c r="E66" i="1" s="1"/>
  <c r="E32" i="1" s="1"/>
  <c r="E61" i="27"/>
  <c r="E64" i="27" s="1"/>
  <c r="E59" i="27"/>
  <c r="D58" i="1"/>
  <c r="F55" i="27"/>
  <c r="G56" i="27"/>
  <c r="G57" i="27" s="1"/>
  <c r="E37" i="29"/>
  <c r="E49" i="29" s="1"/>
  <c r="F43" i="17"/>
  <c r="E55" i="10"/>
  <c r="E120" i="2"/>
  <c r="E125" i="2" s="1"/>
  <c r="G79" i="2"/>
  <c r="G50" i="1" s="1"/>
  <c r="F46" i="5"/>
  <c r="F51" i="1"/>
  <c r="E63" i="17"/>
  <c r="E108" i="17" s="1"/>
  <c r="E109" i="17" s="1"/>
  <c r="E110" i="17" s="1"/>
  <c r="E100" i="17" s="1"/>
  <c r="E102" i="17" s="1"/>
  <c r="E66" i="27"/>
  <c r="H5" i="1"/>
  <c r="I6" i="1"/>
  <c r="I6" i="10"/>
  <c r="I5" i="10" s="1"/>
  <c r="H40" i="10"/>
  <c r="H43" i="10" s="1"/>
  <c r="H47" i="10" s="1"/>
  <c r="E97" i="2"/>
  <c r="E96" i="2"/>
  <c r="E106" i="2"/>
  <c r="E81" i="15"/>
  <c r="E82" i="15"/>
  <c r="G41" i="17"/>
  <c r="G14" i="19"/>
  <c r="G28" i="3"/>
  <c r="G56" i="1" s="1"/>
  <c r="G86" i="2"/>
  <c r="G35" i="10"/>
  <c r="G8" i="20"/>
  <c r="G57" i="1" s="1"/>
  <c r="G39" i="29"/>
  <c r="H5" i="4"/>
  <c r="I6" i="4"/>
  <c r="D109" i="2"/>
  <c r="D108" i="2"/>
  <c r="F57" i="10"/>
  <c r="F80" i="17"/>
  <c r="F98" i="17" s="1"/>
  <c r="E15" i="1"/>
  <c r="E17" i="1"/>
  <c r="E11" i="1"/>
  <c r="E16" i="1"/>
  <c r="E18" i="1"/>
  <c r="E14" i="1"/>
  <c r="E19" i="1"/>
  <c r="J6" i="15"/>
  <c r="I5" i="15"/>
  <c r="F88" i="29"/>
  <c r="F86" i="29"/>
  <c r="F53" i="10"/>
  <c r="E13" i="1"/>
  <c r="E31" i="1"/>
  <c r="E12" i="1"/>
  <c r="D34" i="1"/>
  <c r="D31" i="1"/>
  <c r="D30" i="1"/>
  <c r="D33" i="1"/>
  <c r="D38" i="1"/>
  <c r="D29" i="1"/>
  <c r="D36"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89" i="29"/>
  <c r="E36" i="1"/>
  <c r="E33" i="1"/>
  <c r="E35" i="1"/>
  <c r="E30" i="1"/>
  <c r="E34" i="1"/>
  <c r="F23" i="29"/>
  <c r="F34" i="29" s="1"/>
  <c r="F37" i="29" s="1"/>
  <c r="D63" i="17"/>
  <c r="D108" i="17" s="1"/>
  <c r="D109" i="17" s="1"/>
  <c r="D110" i="17" s="1"/>
  <c r="D100" i="17" s="1"/>
  <c r="D66" i="27"/>
  <c r="G45" i="10"/>
  <c r="G49" i="10" s="1"/>
  <c r="G63" i="27"/>
  <c r="G46" i="10"/>
  <c r="E38" i="1"/>
  <c r="H78" i="2"/>
  <c r="I6" i="2"/>
  <c r="H77" i="2"/>
  <c r="H5" i="2"/>
  <c r="H5" i="20"/>
  <c r="I6" i="20"/>
  <c r="H33" i="28"/>
  <c r="G32" i="28"/>
  <c r="G35" i="28"/>
  <c r="H34" i="10" s="1"/>
  <c r="H38" i="10" s="1"/>
  <c r="G34" i="28"/>
  <c r="G36" i="28"/>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D51" i="29"/>
  <c r="D53" i="29" s="1"/>
  <c r="D81" i="29" s="1"/>
  <c r="J6" i="17"/>
  <c r="I5" i="17"/>
  <c r="G55" i="27" l="1"/>
  <c r="H56" i="27"/>
  <c r="H57" i="27" s="1"/>
  <c r="D39" i="1"/>
  <c r="D102" i="17"/>
  <c r="E41" i="29"/>
  <c r="E79" i="29" s="1"/>
  <c r="E124" i="2"/>
  <c r="G23" i="29"/>
  <c r="G34" i="29" s="1"/>
  <c r="G37" i="29" s="1"/>
  <c r="D140" i="2"/>
  <c r="D141" i="2"/>
  <c r="F92" i="2"/>
  <c r="F97" i="2" s="1"/>
  <c r="F37" i="1"/>
  <c r="D112" i="2"/>
  <c r="F38" i="1"/>
  <c r="F106" i="2"/>
  <c r="F109" i="2" s="1"/>
  <c r="D113" i="2"/>
  <c r="F89" i="29"/>
  <c r="H65" i="17"/>
  <c r="I33" i="28"/>
  <c r="H32" i="28"/>
  <c r="H35" i="28"/>
  <c r="I34" i="10" s="1"/>
  <c r="I38" i="10" s="1"/>
  <c r="H36" i="28"/>
  <c r="I39" i="17" s="1"/>
  <c r="H34" i="28"/>
  <c r="H79" i="2"/>
  <c r="G80" i="17"/>
  <c r="F81" i="15"/>
  <c r="F82" i="15"/>
  <c r="F120" i="2"/>
  <c r="F134" i="2"/>
  <c r="J6" i="19"/>
  <c r="I5" i="19"/>
  <c r="F66" i="27"/>
  <c r="F63" i="17"/>
  <c r="F108" i="17" s="1"/>
  <c r="F109" i="17" s="1"/>
  <c r="F110" i="17" s="1"/>
  <c r="F100" i="17" s="1"/>
  <c r="F102" i="17" s="1"/>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H54" i="1"/>
  <c r="H51" i="1"/>
  <c r="H8" i="20"/>
  <c r="H57" i="1" s="1"/>
  <c r="H28" i="3"/>
  <c r="H56" i="1" s="1"/>
  <c r="H14" i="19"/>
  <c r="H41" i="17"/>
  <c r="H35" i="10"/>
  <c r="H39" i="29"/>
  <c r="H86" i="2"/>
  <c r="J6" i="20"/>
  <c r="I5" i="20"/>
  <c r="F18" i="1"/>
  <c r="F30" i="1"/>
  <c r="F34" i="1"/>
  <c r="F35" i="1"/>
  <c r="F36" i="1"/>
  <c r="F33" i="1"/>
  <c r="F86" i="17"/>
  <c r="G88" i="29"/>
  <c r="G86" i="29"/>
  <c r="I32" i="10"/>
  <c r="J6" i="10"/>
  <c r="J5" i="10" s="1"/>
  <c r="I40" i="10"/>
  <c r="I43" i="10" s="1"/>
  <c r="I47" i="10" s="1"/>
  <c r="J6" i="1"/>
  <c r="I5" i="1"/>
  <c r="F19"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D66" i="17"/>
  <c r="D67" i="17" s="1"/>
  <c r="D70" i="17"/>
  <c r="J6" i="11"/>
  <c r="I5" i="11"/>
  <c r="E58" i="1"/>
  <c r="E29" i="1"/>
  <c r="E39" i="1" s="1"/>
  <c r="E10" i="1"/>
  <c r="E20" i="1" s="1"/>
  <c r="I5" i="27"/>
  <c r="J6" i="27"/>
  <c r="I56" i="27"/>
  <c r="F58" i="10"/>
  <c r="F59" i="10" s="1"/>
  <c r="I50" i="15"/>
  <c r="F32" i="1"/>
  <c r="F13" i="1"/>
  <c r="F29" i="1"/>
  <c r="F10" i="1"/>
  <c r="F58" i="1"/>
  <c r="H41" i="5"/>
  <c r="I78" i="2"/>
  <c r="I77" i="2"/>
  <c r="I5" i="2"/>
  <c r="J6" i="2"/>
  <c r="G61" i="27"/>
  <c r="G64" i="27" s="1"/>
  <c r="G62" i="27"/>
  <c r="G66" i="1" s="1"/>
  <c r="F41" i="29"/>
  <c r="F79" i="29" s="1"/>
  <c r="F49" i="29"/>
  <c r="J6" i="29"/>
  <c r="J5" i="29" s="1"/>
  <c r="I22" i="29"/>
  <c r="E137" i="2"/>
  <c r="E141" i="2" s="1"/>
  <c r="E136" i="2"/>
  <c r="J6" i="3"/>
  <c r="I5" i="3"/>
  <c r="F55" i="10"/>
  <c r="K6" i="15"/>
  <c r="K5" i="15" s="1"/>
  <c r="J5" i="15"/>
  <c r="J6" i="4"/>
  <c r="I5" i="4"/>
  <c r="G54" i="10"/>
  <c r="G53" i="10"/>
  <c r="G57" i="10"/>
  <c r="G98" i="17"/>
  <c r="G43" i="17"/>
  <c r="D61" i="1"/>
  <c r="D83" i="29"/>
  <c r="D62" i="1" s="1"/>
  <c r="K6" i="17"/>
  <c r="J5" i="17"/>
  <c r="H55" i="27" l="1"/>
  <c r="E140" i="2"/>
  <c r="D147" i="2"/>
  <c r="D69" i="17"/>
  <c r="D88" i="17" s="1"/>
  <c r="D59" i="1" s="1"/>
  <c r="F20" i="1"/>
  <c r="F39" i="1"/>
  <c r="H23" i="29"/>
  <c r="H34" i="29" s="1"/>
  <c r="G58" i="10"/>
  <c r="G59" i="10" s="1"/>
  <c r="G49" i="29"/>
  <c r="G51" i="29" s="1"/>
  <c r="G53" i="29" s="1"/>
  <c r="G81" i="29" s="1"/>
  <c r="D142" i="2"/>
  <c r="F96" i="2"/>
  <c r="D148" i="2"/>
  <c r="D149" i="2" s="1"/>
  <c r="E142" i="2"/>
  <c r="G92" i="2"/>
  <c r="G97" i="2" s="1"/>
  <c r="F113" i="2"/>
  <c r="F108" i="2"/>
  <c r="D114" i="2"/>
  <c r="G55" i="10"/>
  <c r="J50" i="15"/>
  <c r="K6" i="3"/>
  <c r="K5" i="3" s="1"/>
  <c r="J5" i="3"/>
  <c r="H53" i="1"/>
  <c r="I51" i="1"/>
  <c r="I46" i="5"/>
  <c r="I46" i="10"/>
  <c r="I63" i="27"/>
  <c r="I45" i="10"/>
  <c r="I49" i="10" s="1"/>
  <c r="G18" i="1"/>
  <c r="H53" i="10"/>
  <c r="H57" i="10"/>
  <c r="H80" i="17"/>
  <c r="H98" i="17" s="1"/>
  <c r="E148" i="2"/>
  <c r="G81" i="15"/>
  <c r="G82" i="15"/>
  <c r="G14" i="1"/>
  <c r="G33" i="1"/>
  <c r="K6" i="19"/>
  <c r="K5" i="19" s="1"/>
  <c r="J5" i="19"/>
  <c r="H50" i="1"/>
  <c r="I14" i="19"/>
  <c r="I28" i="3"/>
  <c r="I56" i="1" s="1"/>
  <c r="I39" i="29"/>
  <c r="I86" i="2"/>
  <c r="I35" i="10"/>
  <c r="I8" i="20"/>
  <c r="I57" i="1" s="1"/>
  <c r="I41" i="17"/>
  <c r="I32" i="28"/>
  <c r="J33" i="28"/>
  <c r="I35" i="28"/>
  <c r="J34" i="10" s="1"/>
  <c r="J38" i="10" s="1"/>
  <c r="I36" i="28"/>
  <c r="J39" i="17" s="1"/>
  <c r="I34" i="28"/>
  <c r="J40" i="10"/>
  <c r="J43" i="10" s="1"/>
  <c r="J47" i="10" s="1"/>
  <c r="K6" i="10"/>
  <c r="K5" i="10" s="1"/>
  <c r="J32" i="10"/>
  <c r="G89" i="29"/>
  <c r="K6" i="20"/>
  <c r="K5" i="20" s="1"/>
  <c r="J5" i="20"/>
  <c r="H54" i="10"/>
  <c r="H50" i="10"/>
  <c r="H65" i="1"/>
  <c r="H19" i="1" s="1"/>
  <c r="F70" i="17"/>
  <c r="F66" i="17"/>
  <c r="F136" i="2"/>
  <c r="F137" i="2"/>
  <c r="I65" i="17"/>
  <c r="G38" i="1"/>
  <c r="G37" i="1"/>
  <c r="G30" i="1"/>
  <c r="G35" i="1"/>
  <c r="G36" i="1"/>
  <c r="G32" i="1"/>
  <c r="G31" i="1"/>
  <c r="G34" i="1"/>
  <c r="K6" i="29"/>
  <c r="K5" i="29" s="1"/>
  <c r="J22" i="29"/>
  <c r="G66" i="27"/>
  <c r="G63" i="17"/>
  <c r="I79" i="2"/>
  <c r="I55" i="27"/>
  <c r="I57" i="27"/>
  <c r="G58" i="1"/>
  <c r="G10" i="1"/>
  <c r="G29" i="1"/>
  <c r="H101" i="2"/>
  <c r="H130" i="2"/>
  <c r="H132" i="2"/>
  <c r="H131" i="2"/>
  <c r="H100" i="2"/>
  <c r="H118" i="2"/>
  <c r="H104" i="2"/>
  <c r="H103" i="2"/>
  <c r="H91" i="2"/>
  <c r="H102" i="2"/>
  <c r="H129" i="2"/>
  <c r="H128" i="2"/>
  <c r="H105" i="2"/>
  <c r="H90" i="2"/>
  <c r="H119" i="2"/>
  <c r="H133" i="2"/>
  <c r="H46" i="5"/>
  <c r="E51" i="29"/>
  <c r="E53" i="29" s="1"/>
  <c r="E81" i="29" s="1"/>
  <c r="E67" i="17"/>
  <c r="H61" i="27"/>
  <c r="H64" i="27" s="1"/>
  <c r="H62" i="27"/>
  <c r="H66" i="1" s="1"/>
  <c r="H37" i="1" s="1"/>
  <c r="F125" i="2"/>
  <c r="F124" i="2"/>
  <c r="G51" i="10"/>
  <c r="H43" i="17"/>
  <c r="H47" i="29"/>
  <c r="H59" i="27"/>
  <c r="K50" i="15"/>
  <c r="K5" i="17"/>
  <c r="K6" i="4"/>
  <c r="K5" i="4" s="1"/>
  <c r="J5" i="4"/>
  <c r="J77" i="2"/>
  <c r="J78" i="2"/>
  <c r="K6" i="2"/>
  <c r="L56" i="2" s="1"/>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16" i="5" s="1"/>
  <c r="L14" i="5"/>
  <c r="L57" i="5"/>
  <c r="K6" i="1"/>
  <c r="J5" i="1"/>
  <c r="E147" i="2"/>
  <c r="E114" i="2"/>
  <c r="L41" i="2"/>
  <c r="L46" i="2"/>
  <c r="H88" i="29"/>
  <c r="H86" i="29"/>
  <c r="G120" i="2"/>
  <c r="G134" i="2"/>
  <c r="G106" i="2"/>
  <c r="G86" i="17"/>
  <c r="L26" i="2"/>
  <c r="L53" i="2"/>
  <c r="D22" i="1"/>
  <c r="D41" i="1"/>
  <c r="J56" i="27" l="1"/>
  <c r="J55" i="27" s="1"/>
  <c r="E69" i="17"/>
  <c r="E88" i="17" s="1"/>
  <c r="E59" i="1" s="1"/>
  <c r="H37" i="29"/>
  <c r="H41" i="29" s="1"/>
  <c r="H79" i="29" s="1"/>
  <c r="G20" i="1"/>
  <c r="G39" i="1"/>
  <c r="G66" i="17"/>
  <c r="G67" i="17" s="1"/>
  <c r="G108" i="17"/>
  <c r="G109" i="17" s="1"/>
  <c r="G110" i="17" s="1"/>
  <c r="G100" i="17" s="1"/>
  <c r="L23" i="2"/>
  <c r="L11" i="5"/>
  <c r="L36" i="2"/>
  <c r="L17" i="5"/>
  <c r="L40" i="2"/>
  <c r="L42" i="2" s="1"/>
  <c r="L30" i="2"/>
  <c r="L24" i="2"/>
  <c r="L50" i="2"/>
  <c r="L69" i="5"/>
  <c r="L62" i="2"/>
  <c r="L52" i="2"/>
  <c r="L65" i="5"/>
  <c r="L59" i="2"/>
  <c r="L73" i="5"/>
  <c r="L35" i="2"/>
  <c r="L64" i="2"/>
  <c r="L61" i="5"/>
  <c r="L13" i="5"/>
  <c r="L55" i="2"/>
  <c r="L53" i="5"/>
  <c r="L71" i="2"/>
  <c r="L54" i="2"/>
  <c r="L15" i="5"/>
  <c r="L28" i="2"/>
  <c r="L70" i="2"/>
  <c r="F112" i="2"/>
  <c r="F114" i="2" s="1"/>
  <c r="I43" i="17"/>
  <c r="G41" i="29"/>
  <c r="G79" i="29" s="1"/>
  <c r="G83" i="29" s="1"/>
  <c r="G62" i="1" s="1"/>
  <c r="D90" i="17"/>
  <c r="D60" i="1" s="1"/>
  <c r="D40" i="1" s="1"/>
  <c r="D42" i="1" s="1"/>
  <c r="G96" i="2"/>
  <c r="H18" i="1"/>
  <c r="H55" i="10"/>
  <c r="J79" i="2"/>
  <c r="J50" i="1" s="1"/>
  <c r="J57" i="27"/>
  <c r="K99" i="5"/>
  <c r="K93" i="5"/>
  <c r="K87" i="5"/>
  <c r="K81" i="5"/>
  <c r="K84" i="5"/>
  <c r="K74" i="5"/>
  <c r="K75" i="5" s="1"/>
  <c r="K45" i="5" s="1"/>
  <c r="K62" i="5"/>
  <c r="K63" i="5" s="1"/>
  <c r="L63" i="5" s="1"/>
  <c r="K90" i="5"/>
  <c r="K96" i="5"/>
  <c r="K70" i="5"/>
  <c r="K71" i="5" s="1"/>
  <c r="K54" i="5"/>
  <c r="K55" i="5" s="1"/>
  <c r="K40" i="5" s="1"/>
  <c r="K52" i="1" s="1"/>
  <c r="K58" i="5"/>
  <c r="K59" i="5" s="1"/>
  <c r="K41" i="5" s="1"/>
  <c r="K53" i="1" s="1"/>
  <c r="K5" i="5"/>
  <c r="K66" i="5"/>
  <c r="K67" i="5" s="1"/>
  <c r="L67" i="5" s="1"/>
  <c r="K50" i="5"/>
  <c r="K51" i="5" s="1"/>
  <c r="L51" i="5" s="1"/>
  <c r="L49" i="5"/>
  <c r="L75" i="5"/>
  <c r="L12" i="5"/>
  <c r="J44" i="5"/>
  <c r="L71" i="5"/>
  <c r="J41" i="5"/>
  <c r="L59" i="5"/>
  <c r="F140" i="2"/>
  <c r="H66" i="27"/>
  <c r="H63" i="17"/>
  <c r="H108" i="17" s="1"/>
  <c r="H109" i="17" s="1"/>
  <c r="H110" i="17" s="1"/>
  <c r="H100" i="17" s="1"/>
  <c r="H102" i="17" s="1"/>
  <c r="H120" i="2"/>
  <c r="I47" i="29"/>
  <c r="I59" i="27"/>
  <c r="H51" i="10"/>
  <c r="H48" i="1"/>
  <c r="H13" i="1"/>
  <c r="K32" i="10"/>
  <c r="K40" i="10"/>
  <c r="K43" i="10" s="1"/>
  <c r="K47" i="10" s="1"/>
  <c r="J35" i="10"/>
  <c r="J8" i="20"/>
  <c r="J57" i="1" s="1"/>
  <c r="J41" i="17"/>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J55" i="1"/>
  <c r="K77" i="2"/>
  <c r="K78" i="2"/>
  <c r="K5" i="2"/>
  <c r="L77" i="2"/>
  <c r="L25" i="2"/>
  <c r="L69" i="2"/>
  <c r="H81" i="15"/>
  <c r="H82" i="15"/>
  <c r="F141" i="2"/>
  <c r="J46" i="10"/>
  <c r="J45" i="10"/>
  <c r="J49" i="10" s="1"/>
  <c r="J63" i="27"/>
  <c r="I23" i="29"/>
  <c r="I34" i="29" s="1"/>
  <c r="I37" i="29" s="1"/>
  <c r="J65" i="17"/>
  <c r="I88" i="29"/>
  <c r="I86" i="29"/>
  <c r="H86" i="17"/>
  <c r="H58" i="10"/>
  <c r="H59" i="10" s="1"/>
  <c r="E149" i="2"/>
  <c r="J51" i="1"/>
  <c r="J45" i="5"/>
  <c r="L45" i="5" s="1"/>
  <c r="K5" i="27"/>
  <c r="E83" i="29"/>
  <c r="E62" i="1" s="1"/>
  <c r="E61" i="1"/>
  <c r="H92" i="2"/>
  <c r="H106" i="2"/>
  <c r="I50" i="1"/>
  <c r="H12" i="1"/>
  <c r="H31" i="1"/>
  <c r="I80" i="17"/>
  <c r="I98" i="17" s="1"/>
  <c r="L98" i="17" s="1"/>
  <c r="G109" i="2"/>
  <c r="G108" i="2"/>
  <c r="K5" i="1"/>
  <c r="M49" i="1"/>
  <c r="J40" i="5"/>
  <c r="L14" i="2"/>
  <c r="H30" i="1"/>
  <c r="H36" i="1"/>
  <c r="H33" i="1"/>
  <c r="H134" i="2"/>
  <c r="K22" i="29"/>
  <c r="F51" i="29"/>
  <c r="F53" i="29" s="1"/>
  <c r="F81" i="29" s="1"/>
  <c r="F67" i="17"/>
  <c r="H11" i="1"/>
  <c r="H14" i="1"/>
  <c r="H17" i="1"/>
  <c r="H32" i="1"/>
  <c r="J32" i="28"/>
  <c r="J35" i="28"/>
  <c r="K34" i="10" s="1"/>
  <c r="K38" i="10" s="1"/>
  <c r="K56" i="27" s="1"/>
  <c r="J36" i="28"/>
  <c r="J34" i="28"/>
  <c r="I54" i="10"/>
  <c r="I53" i="10"/>
  <c r="I57" i="10"/>
  <c r="H35" i="1"/>
  <c r="H38" i="1"/>
  <c r="I62" i="27"/>
  <c r="I66" i="1" s="1"/>
  <c r="M30" i="1" s="1"/>
  <c r="I61" i="27"/>
  <c r="I64" i="27" s="1"/>
  <c r="G70" i="17"/>
  <c r="G61" i="1"/>
  <c r="D21" i="1"/>
  <c r="D23" i="1" s="1"/>
  <c r="H49" i="29" l="1"/>
  <c r="H51" i="29" s="1"/>
  <c r="H53" i="29" s="1"/>
  <c r="H81" i="29" s="1"/>
  <c r="H61" i="1" s="1"/>
  <c r="H22" i="1" s="1"/>
  <c r="E90" i="17"/>
  <c r="E60" i="1" s="1"/>
  <c r="E40" i="1" s="1"/>
  <c r="G69" i="17"/>
  <c r="G88" i="17" s="1"/>
  <c r="F69" i="17"/>
  <c r="F88" i="17" s="1"/>
  <c r="F59" i="1" s="1"/>
  <c r="D63" i="1"/>
  <c r="G102" i="17"/>
  <c r="I86" i="17"/>
  <c r="L18" i="5"/>
  <c r="L55" i="5"/>
  <c r="I18" i="1"/>
  <c r="M55" i="5"/>
  <c r="J46" i="5"/>
  <c r="I19" i="1"/>
  <c r="G141" i="2"/>
  <c r="L79" i="2"/>
  <c r="K79" i="2"/>
  <c r="K50" i="1" s="1"/>
  <c r="N50" i="1" s="1"/>
  <c r="I51" i="10"/>
  <c r="I58" i="10"/>
  <c r="I59" i="10" s="1"/>
  <c r="J23" i="29"/>
  <c r="J34" i="29" s="1"/>
  <c r="J37" i="29" s="1"/>
  <c r="J49" i="29" s="1"/>
  <c r="J51" i="29" s="1"/>
  <c r="J53" i="29" s="1"/>
  <c r="J81" i="29" s="1"/>
  <c r="M75" i="5"/>
  <c r="J43" i="17"/>
  <c r="G140" i="2"/>
  <c r="I55" i="10"/>
  <c r="M59" i="5"/>
  <c r="I120" i="2"/>
  <c r="I125" i="2" s="1"/>
  <c r="K55" i="27"/>
  <c r="K57" i="27"/>
  <c r="I35" i="1"/>
  <c r="I36" i="1"/>
  <c r="I33" i="1"/>
  <c r="I30" i="1"/>
  <c r="I34" i="1"/>
  <c r="I32" i="1"/>
  <c r="H96" i="2"/>
  <c r="H97" i="2"/>
  <c r="I89" i="29"/>
  <c r="I49" i="29"/>
  <c r="I51" i="29" s="1"/>
  <c r="I53" i="29" s="1"/>
  <c r="I81" i="29" s="1"/>
  <c r="I61" i="1" s="1"/>
  <c r="I41" i="29"/>
  <c r="I79" i="29" s="1"/>
  <c r="I11" i="1"/>
  <c r="I17" i="1"/>
  <c r="I14" i="1"/>
  <c r="I15" i="1"/>
  <c r="I16" i="1"/>
  <c r="M56" i="1"/>
  <c r="F142" i="2"/>
  <c r="F147" i="2"/>
  <c r="I66" i="27"/>
  <c r="I63" i="17"/>
  <c r="I108" i="17" s="1"/>
  <c r="I109" i="17" s="1"/>
  <c r="I110" i="17" s="1"/>
  <c r="I100" i="17" s="1"/>
  <c r="I102" i="17" s="1"/>
  <c r="K35" i="10"/>
  <c r="K8" i="20"/>
  <c r="K57" i="1" s="1"/>
  <c r="K14" i="19"/>
  <c r="K28" i="3"/>
  <c r="K56" i="1" s="1"/>
  <c r="N56" i="1" s="1"/>
  <c r="K39" i="29"/>
  <c r="K86" i="2"/>
  <c r="K41" i="17"/>
  <c r="G112" i="2"/>
  <c r="I38" i="1"/>
  <c r="I12" i="1"/>
  <c r="I31" i="1"/>
  <c r="M50" i="1"/>
  <c r="M31" i="1"/>
  <c r="H109" i="2"/>
  <c r="H108" i="2"/>
  <c r="J61" i="27"/>
  <c r="J64" i="27" s="1"/>
  <c r="J62" i="27"/>
  <c r="J66" i="1" s="1"/>
  <c r="F148" i="2"/>
  <c r="I81" i="15"/>
  <c r="I82" i="15"/>
  <c r="I106" i="2"/>
  <c r="J54" i="10"/>
  <c r="J53" i="10"/>
  <c r="J57" i="10"/>
  <c r="H58" i="1"/>
  <c r="H29" i="1"/>
  <c r="H39" i="1" s="1"/>
  <c r="H10" i="1"/>
  <c r="H20" i="1" s="1"/>
  <c r="H66" i="17"/>
  <c r="H67" i="17" s="1"/>
  <c r="H70" i="17"/>
  <c r="K39" i="5"/>
  <c r="L39" i="5" s="1"/>
  <c r="M51" i="5"/>
  <c r="K42" i="5"/>
  <c r="L42" i="5" s="1"/>
  <c r="M63" i="5"/>
  <c r="H136" i="2"/>
  <c r="H137" i="2"/>
  <c r="J52" i="1"/>
  <c r="M40" i="5"/>
  <c r="L40" i="5"/>
  <c r="G113" i="2"/>
  <c r="E22" i="1"/>
  <c r="E41" i="1"/>
  <c r="J80" i="17"/>
  <c r="J98" i="17" s="1"/>
  <c r="I92" i="2"/>
  <c r="J88" i="29"/>
  <c r="J86" i="29"/>
  <c r="K46" i="10"/>
  <c r="K45" i="10"/>
  <c r="K49" i="10" s="1"/>
  <c r="K63" i="27"/>
  <c r="H125" i="2"/>
  <c r="H124" i="2"/>
  <c r="K43" i="5"/>
  <c r="L43" i="5" s="1"/>
  <c r="M67" i="5"/>
  <c r="K44" i="5"/>
  <c r="M44" i="5" s="1"/>
  <c r="M71" i="5"/>
  <c r="M45" i="5"/>
  <c r="J59" i="27"/>
  <c r="J47" i="29"/>
  <c r="F61" i="1"/>
  <c r="F22" i="1" s="1"/>
  <c r="F83" i="29"/>
  <c r="F62" i="1" s="1"/>
  <c r="I37" i="1"/>
  <c r="J65" i="1"/>
  <c r="J50" i="10"/>
  <c r="J48" i="1" s="1"/>
  <c r="E21" i="1"/>
  <c r="M77" i="2"/>
  <c r="I10" i="1"/>
  <c r="I58" i="1"/>
  <c r="I29" i="1"/>
  <c r="I134" i="2"/>
  <c r="J101" i="2"/>
  <c r="J119" i="2"/>
  <c r="J105" i="2"/>
  <c r="J90" i="2"/>
  <c r="J131" i="2"/>
  <c r="J130" i="2"/>
  <c r="J104" i="2"/>
  <c r="J103" i="2"/>
  <c r="J91" i="2"/>
  <c r="J118" i="2"/>
  <c r="J129" i="2"/>
  <c r="J128" i="2"/>
  <c r="J133" i="2"/>
  <c r="J102" i="2"/>
  <c r="J132" i="2"/>
  <c r="J100" i="2"/>
  <c r="J53" i="1"/>
  <c r="M41" i="5"/>
  <c r="L41" i="5"/>
  <c r="G41" i="1"/>
  <c r="G22" i="1"/>
  <c r="K39" i="17" l="1"/>
  <c r="K65" i="17" s="1"/>
  <c r="H83" i="29"/>
  <c r="H62" i="1" s="1"/>
  <c r="H41" i="1" s="1"/>
  <c r="E63" i="1"/>
  <c r="G59" i="1"/>
  <c r="G21" i="1" s="1"/>
  <c r="G23" i="1" s="1"/>
  <c r="G90" i="17"/>
  <c r="G60" i="1" s="1"/>
  <c r="H69" i="17"/>
  <c r="H88" i="17" s="1"/>
  <c r="F90" i="17"/>
  <c r="F60" i="1" s="1"/>
  <c r="F63" i="1" s="1"/>
  <c r="L100" i="17"/>
  <c r="L102" i="17"/>
  <c r="I20" i="1"/>
  <c r="E42" i="1"/>
  <c r="I39" i="1"/>
  <c r="E23" i="1"/>
  <c r="J38" i="1"/>
  <c r="H112" i="2"/>
  <c r="M57" i="1"/>
  <c r="M37" i="1"/>
  <c r="M38" i="1"/>
  <c r="L44" i="5"/>
  <c r="L46" i="5" s="1"/>
  <c r="G142" i="2"/>
  <c r="M79" i="2"/>
  <c r="J86" i="17"/>
  <c r="J35" i="1"/>
  <c r="J32" i="1"/>
  <c r="I124" i="2"/>
  <c r="J41" i="29"/>
  <c r="J79" i="29" s="1"/>
  <c r="J83" i="29" s="1"/>
  <c r="F41" i="1"/>
  <c r="H113" i="2"/>
  <c r="J36" i="1"/>
  <c r="I83" i="29"/>
  <c r="I62" i="1" s="1"/>
  <c r="I41" i="1" s="1"/>
  <c r="J61" i="1"/>
  <c r="J22" i="1" s="1"/>
  <c r="J16" i="1"/>
  <c r="J106" i="2"/>
  <c r="J10" i="1"/>
  <c r="J58" i="1"/>
  <c r="J29" i="1"/>
  <c r="K65" i="1"/>
  <c r="N11" i="1" s="1"/>
  <c r="K50" i="10"/>
  <c r="K48" i="1" s="1"/>
  <c r="N48" i="1" s="1"/>
  <c r="F21" i="1"/>
  <c r="F23" i="1" s="1"/>
  <c r="I109" i="2"/>
  <c r="I108" i="2"/>
  <c r="K86" i="29"/>
  <c r="K88" i="29"/>
  <c r="K23" i="29"/>
  <c r="K34" i="29" s="1"/>
  <c r="K37" i="29" s="1"/>
  <c r="J11" i="1"/>
  <c r="J12" i="1"/>
  <c r="J13" i="1"/>
  <c r="J89" i="29"/>
  <c r="H141" i="2"/>
  <c r="K54" i="1"/>
  <c r="M42" i="5"/>
  <c r="K46" i="5"/>
  <c r="K51" i="1"/>
  <c r="M13" i="1" s="1"/>
  <c r="M39" i="5"/>
  <c r="M48" i="1"/>
  <c r="J58" i="10"/>
  <c r="J59" i="10" s="1"/>
  <c r="J30" i="1"/>
  <c r="J31" i="1"/>
  <c r="G114" i="2"/>
  <c r="G147" i="2"/>
  <c r="I70" i="17"/>
  <c r="L70" i="17" s="1"/>
  <c r="I66" i="17"/>
  <c r="I67" i="17" s="1"/>
  <c r="M19" i="1"/>
  <c r="J37" i="1"/>
  <c r="J134" i="2"/>
  <c r="I136" i="2"/>
  <c r="I137" i="2"/>
  <c r="I141" i="2" s="1"/>
  <c r="G148" i="2"/>
  <c r="K62" i="27"/>
  <c r="K66" i="1" s="1"/>
  <c r="K38" i="1" s="1"/>
  <c r="K61" i="27"/>
  <c r="K64" i="27" s="1"/>
  <c r="J51" i="10"/>
  <c r="H140" i="2"/>
  <c r="M10" i="1"/>
  <c r="J17" i="1"/>
  <c r="J63" i="17"/>
  <c r="J108" i="17" s="1"/>
  <c r="J109" i="17" s="1"/>
  <c r="J110" i="17" s="1"/>
  <c r="J100" i="17" s="1"/>
  <c r="J102" i="17" s="1"/>
  <c r="J66" i="27"/>
  <c r="J18" i="1"/>
  <c r="J81" i="15"/>
  <c r="J82" i="15"/>
  <c r="J15" i="1"/>
  <c r="J34" i="1"/>
  <c r="M15" i="1"/>
  <c r="M34" i="1"/>
  <c r="M53" i="1"/>
  <c r="N53" i="1"/>
  <c r="J120" i="2"/>
  <c r="J92" i="2"/>
  <c r="L91" i="2"/>
  <c r="K55" i="1"/>
  <c r="M17" i="1" s="1"/>
  <c r="M43" i="5"/>
  <c r="K80" i="17"/>
  <c r="L80" i="17" s="1"/>
  <c r="I97" i="2"/>
  <c r="I96" i="2"/>
  <c r="J14" i="1"/>
  <c r="J33" i="1"/>
  <c r="N52" i="1"/>
  <c r="M14" i="1"/>
  <c r="M52" i="1"/>
  <c r="M33" i="1"/>
  <c r="M29" i="1"/>
  <c r="J55" i="10"/>
  <c r="M12" i="1"/>
  <c r="K131" i="2"/>
  <c r="M131" i="2" s="1"/>
  <c r="K100" i="2"/>
  <c r="L100" i="2" s="1"/>
  <c r="K130" i="2"/>
  <c r="M130" i="2" s="1"/>
  <c r="K104" i="2"/>
  <c r="M104" i="2" s="1"/>
  <c r="K105" i="2"/>
  <c r="M105" i="2" s="1"/>
  <c r="K103" i="2"/>
  <c r="M103" i="2" s="1"/>
  <c r="K91" i="2"/>
  <c r="M91" i="2" s="1"/>
  <c r="K118" i="2"/>
  <c r="M118" i="2" s="1"/>
  <c r="K132" i="2"/>
  <c r="M132" i="2" s="1"/>
  <c r="K101" i="2"/>
  <c r="M101" i="2" s="1"/>
  <c r="K119" i="2"/>
  <c r="L119" i="2" s="1"/>
  <c r="K90" i="2"/>
  <c r="K129" i="2"/>
  <c r="M129" i="2" s="1"/>
  <c r="K128" i="2"/>
  <c r="L128" i="2" s="1"/>
  <c r="K133" i="2"/>
  <c r="M133" i="2" s="1"/>
  <c r="K102" i="2"/>
  <c r="M102" i="2" s="1"/>
  <c r="N57" i="1"/>
  <c r="J19" i="1"/>
  <c r="M18" i="1"/>
  <c r="K59" i="27"/>
  <c r="K47" i="29"/>
  <c r="K57" i="10"/>
  <c r="K54" i="10"/>
  <c r="K53" i="10"/>
  <c r="F149" i="2"/>
  <c r="M11" i="1"/>
  <c r="I22" i="1"/>
  <c r="K43" i="17" l="1"/>
  <c r="F40" i="1"/>
  <c r="F42" i="1" s="1"/>
  <c r="G63" i="1"/>
  <c r="N33" i="1"/>
  <c r="G40" i="1"/>
  <c r="G42" i="1" s="1"/>
  <c r="I69" i="17"/>
  <c r="L69" i="17" s="1"/>
  <c r="N34" i="1"/>
  <c r="N38" i="1"/>
  <c r="N30" i="1"/>
  <c r="N37" i="1"/>
  <c r="J39" i="1"/>
  <c r="H59" i="1"/>
  <c r="J20" i="1"/>
  <c r="N31" i="1"/>
  <c r="K98" i="17"/>
  <c r="M98" i="17" s="1"/>
  <c r="I140" i="2"/>
  <c r="M43" i="17"/>
  <c r="L43" i="17"/>
  <c r="M35" i="1"/>
  <c r="M54" i="1"/>
  <c r="L132" i="2"/>
  <c r="L102" i="2"/>
  <c r="K81" i="15"/>
  <c r="K82" i="15"/>
  <c r="M32" i="1"/>
  <c r="M51" i="1"/>
  <c r="L105" i="2"/>
  <c r="L101" i="2"/>
  <c r="L90" i="2"/>
  <c r="L92" i="2" s="1"/>
  <c r="L104" i="2"/>
  <c r="L103" i="2"/>
  <c r="L133" i="2"/>
  <c r="L130" i="2"/>
  <c r="M55" i="1"/>
  <c r="M36" i="1"/>
  <c r="M16" i="1"/>
  <c r="M20" i="1" s="1"/>
  <c r="L129" i="2"/>
  <c r="L131" i="2"/>
  <c r="L118" i="2"/>
  <c r="L120" i="2" s="1"/>
  <c r="K86" i="17"/>
  <c r="L86" i="17" s="1"/>
  <c r="N18" i="1"/>
  <c r="N15" i="1"/>
  <c r="K55" i="10"/>
  <c r="H148" i="2"/>
  <c r="K19" i="1"/>
  <c r="M80" i="17"/>
  <c r="H114" i="2"/>
  <c r="I113" i="2"/>
  <c r="I148" i="2" s="1"/>
  <c r="K18" i="1"/>
  <c r="N10" i="1"/>
  <c r="K58" i="10"/>
  <c r="K59" i="10" s="1"/>
  <c r="N19" i="1"/>
  <c r="K51" i="10"/>
  <c r="N12" i="1"/>
  <c r="M61" i="1"/>
  <c r="N14" i="1"/>
  <c r="K89" i="29"/>
  <c r="M22" i="1"/>
  <c r="M46" i="5"/>
  <c r="K16" i="1"/>
  <c r="K35" i="1"/>
  <c r="N54" i="1"/>
  <c r="N35" i="1"/>
  <c r="N16" i="1"/>
  <c r="J108" i="2"/>
  <c r="J109" i="2"/>
  <c r="L106" i="2"/>
  <c r="J136" i="2"/>
  <c r="J137" i="2"/>
  <c r="M128" i="2"/>
  <c r="K134" i="2"/>
  <c r="L134" i="2" s="1"/>
  <c r="H90" i="17"/>
  <c r="I112" i="2"/>
  <c r="J124" i="2"/>
  <c r="J125" i="2"/>
  <c r="H142" i="2"/>
  <c r="K13" i="1"/>
  <c r="K32" i="1"/>
  <c r="N13" i="1"/>
  <c r="N32" i="1"/>
  <c r="N51" i="1"/>
  <c r="K41" i="29"/>
  <c r="K79" i="29" s="1"/>
  <c r="K49" i="29"/>
  <c r="K51" i="29" s="1"/>
  <c r="K53" i="29" s="1"/>
  <c r="K81" i="29" s="1"/>
  <c r="K61" i="1" s="1"/>
  <c r="K10" i="1"/>
  <c r="K29" i="1"/>
  <c r="K58" i="1"/>
  <c r="M90" i="2"/>
  <c r="M92" i="2" s="1"/>
  <c r="K120" i="2"/>
  <c r="K92" i="2"/>
  <c r="J66" i="17"/>
  <c r="J67" i="17" s="1"/>
  <c r="J70" i="17"/>
  <c r="K30" i="1"/>
  <c r="K33" i="1"/>
  <c r="K31" i="1"/>
  <c r="K34" i="1"/>
  <c r="K106" i="2"/>
  <c r="I142" i="2"/>
  <c r="K17" i="1"/>
  <c r="K36" i="1"/>
  <c r="N17" i="1"/>
  <c r="N36" i="1"/>
  <c r="N55" i="1"/>
  <c r="J96" i="2"/>
  <c r="J97" i="2"/>
  <c r="J62" i="1"/>
  <c r="H147" i="2"/>
  <c r="N29" i="1"/>
  <c r="K11" i="1"/>
  <c r="K14" i="1"/>
  <c r="K15" i="1"/>
  <c r="K12" i="1"/>
  <c r="M100" i="2"/>
  <c r="M119" i="2"/>
  <c r="M120" i="2" s="1"/>
  <c r="K66" i="27"/>
  <c r="K63" i="17"/>
  <c r="K108" i="17" s="1"/>
  <c r="K109" i="17" s="1"/>
  <c r="K110" i="17" s="1"/>
  <c r="K100" i="17" s="1"/>
  <c r="K37" i="1"/>
  <c r="G149" i="2"/>
  <c r="I88" i="17" l="1"/>
  <c r="L88" i="17" s="1"/>
  <c r="J69" i="17"/>
  <c r="J88" i="17" s="1"/>
  <c r="K102" i="17"/>
  <c r="M102" i="17" s="1"/>
  <c r="M39" i="1"/>
  <c r="N20" i="1"/>
  <c r="K20" i="1"/>
  <c r="H60" i="1"/>
  <c r="H63" i="1" s="1"/>
  <c r="N39" i="1"/>
  <c r="K39" i="1"/>
  <c r="M100" i="17"/>
  <c r="M58" i="1"/>
  <c r="M86" i="17"/>
  <c r="I90" i="17"/>
  <c r="I60" i="1" s="1"/>
  <c r="J113" i="2"/>
  <c r="L97" i="2"/>
  <c r="K96" i="2"/>
  <c r="L96" i="2" s="1"/>
  <c r="K97" i="2"/>
  <c r="M97" i="2" s="1"/>
  <c r="K83" i="29"/>
  <c r="K62" i="1" s="1"/>
  <c r="N62" i="1" s="1"/>
  <c r="J141" i="2"/>
  <c r="H21" i="1"/>
  <c r="H23" i="1" s="1"/>
  <c r="H149" i="2"/>
  <c r="K124" i="2"/>
  <c r="M124" i="2" s="1"/>
  <c r="K125" i="2"/>
  <c r="L125" i="2" s="1"/>
  <c r="J140" i="2"/>
  <c r="L124" i="2"/>
  <c r="K136" i="2"/>
  <c r="M136" i="2" s="1"/>
  <c r="K137" i="2"/>
  <c r="M137" i="2" s="1"/>
  <c r="M134" i="2"/>
  <c r="K66" i="17"/>
  <c r="K67" i="17" s="1"/>
  <c r="K70" i="17"/>
  <c r="M70" i="17" s="1"/>
  <c r="J41" i="1"/>
  <c r="M41" i="1"/>
  <c r="M62" i="1"/>
  <c r="N58" i="1"/>
  <c r="I147" i="2"/>
  <c r="I149" i="2" s="1"/>
  <c r="I114" i="2"/>
  <c r="K108" i="2"/>
  <c r="M108" i="2" s="1"/>
  <c r="K109" i="2"/>
  <c r="M109" i="2" s="1"/>
  <c r="M106" i="2"/>
  <c r="K22" i="1"/>
  <c r="N22" i="1"/>
  <c r="N61" i="1"/>
  <c r="J112" i="2"/>
  <c r="L108" i="2"/>
  <c r="I59" i="1" l="1"/>
  <c r="M21" i="1" s="1"/>
  <c r="M23" i="1" s="1"/>
  <c r="H40" i="1"/>
  <c r="H42" i="1" s="1"/>
  <c r="K69" i="17"/>
  <c r="M69" i="17" s="1"/>
  <c r="L90" i="17"/>
  <c r="J59" i="1"/>
  <c r="J21" i="1" s="1"/>
  <c r="J23" i="1" s="1"/>
  <c r="M60" i="1"/>
  <c r="M40" i="1"/>
  <c r="M42" i="1" s="1"/>
  <c r="L136" i="2"/>
  <c r="L137" i="2"/>
  <c r="L109" i="2"/>
  <c r="J90" i="17"/>
  <c r="J60" i="1" s="1"/>
  <c r="N41" i="1"/>
  <c r="K141" i="2"/>
  <c r="M141" i="2" s="1"/>
  <c r="K41" i="1"/>
  <c r="K140" i="2"/>
  <c r="K113" i="2"/>
  <c r="J148" i="2"/>
  <c r="L148" i="2" s="1"/>
  <c r="L113" i="2"/>
  <c r="J142" i="2"/>
  <c r="L140" i="2"/>
  <c r="M125" i="2"/>
  <c r="K112" i="2"/>
  <c r="L112" i="2" s="1"/>
  <c r="M96" i="2"/>
  <c r="J147" i="2"/>
  <c r="J114" i="2"/>
  <c r="I21" i="1" l="1"/>
  <c r="I23" i="1" s="1"/>
  <c r="I40" i="1"/>
  <c r="I42" i="1" s="1"/>
  <c r="M59" i="1"/>
  <c r="M63" i="1" s="1"/>
  <c r="I63" i="1"/>
  <c r="M112" i="2"/>
  <c r="K88" i="17"/>
  <c r="K59" i="1" s="1"/>
  <c r="N59" i="1" s="1"/>
  <c r="J40" i="1"/>
  <c r="J42" i="1" s="1"/>
  <c r="J63" i="1"/>
  <c r="K148" i="2"/>
  <c r="M148" i="2" s="1"/>
  <c r="L141" i="2"/>
  <c r="L142" i="2"/>
  <c r="K142" i="2"/>
  <c r="M142" i="2" s="1"/>
  <c r="M140" i="2"/>
  <c r="M113" i="2"/>
  <c r="K147" i="2"/>
  <c r="K114" i="2"/>
  <c r="M114" i="2" s="1"/>
  <c r="J149" i="2"/>
  <c r="L149" i="2" s="1"/>
  <c r="L147" i="2"/>
  <c r="N21" i="1" l="1"/>
  <c r="N23" i="1" s="1"/>
  <c r="K90" i="17"/>
  <c r="K60" i="1" s="1"/>
  <c r="N40" i="1" s="1"/>
  <c r="N42" i="1" s="1"/>
  <c r="M88" i="17"/>
  <c r="K149" i="2"/>
  <c r="M149" i="2" s="1"/>
  <c r="L114" i="2"/>
  <c r="M147" i="2"/>
  <c r="K21" i="1"/>
  <c r="K23" i="1" s="1"/>
  <c r="K63" i="1" l="1"/>
  <c r="K40" i="1"/>
  <c r="K42" i="1" s="1"/>
  <c r="M90" i="17"/>
  <c r="N60" i="1"/>
  <c r="N63" i="1" s="1"/>
</calcChain>
</file>

<file path=xl/sharedStrings.xml><?xml version="1.0" encoding="utf-8"?>
<sst xmlns="http://schemas.openxmlformats.org/spreadsheetml/2006/main" count="1459" uniqueCount="639">
  <si>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</si>
  <si>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</si>
  <si>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</si>
  <si>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</si>
  <si>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</si>
  <si>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</si>
  <si>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</si>
  <si>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</si>
  <si>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</si>
  <si>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</si>
  <si>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</si>
  <si>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</si>
  <si>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</si>
  <si>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</si>
  <si>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</si>
  <si>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</si>
  <si>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</si>
  <si>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</si>
  <si>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</si>
  <si>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</si>
  <si>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</si>
  <si>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</si>
  <si>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</si>
  <si>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</si>
  <si>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</si>
  <si>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</si>
  <si>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</si>
  <si>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</si>
  <si>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</si>
  <si>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</si>
  <si>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</si>
  <si>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</si>
  <si>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</si>
  <si>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</si>
  <si>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</si>
  <si>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</si>
  <si>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</si>
  <si>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</si>
  <si>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</si>
  <si>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</si>
  <si>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</si>
  <si>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</si>
  <si>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</si>
  <si>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</si>
  <si>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</si>
  <si>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</si>
  <si>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</si>
  <si>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</si>
  <si>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</si>
  <si>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</si>
  <si>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</si>
  <si>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</si>
  <si>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</si>
  <si>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</si>
  <si>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</si>
  <si>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</si>
  <si>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</si>
  <si>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</si>
  <si>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</si>
  <si>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</si>
  <si>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</si>
  <si>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</si>
  <si>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</si>
  <si>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</si>
  <si>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</si>
  <si>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</si>
  <si>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</si>
  <si>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</si>
  <si>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</si>
  <si>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</si>
  <si>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</si>
  <si>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</si>
  <si>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</si>
  <si>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</si>
  <si>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</si>
  <si>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</si>
  <si>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</si>
  <si>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</si>
  <si>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</si>
  <si>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</si>
  <si>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</si>
  <si>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</si>
  <si>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</si>
  <si>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</si>
  <si>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</si>
  <si>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</si>
  <si>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</si>
  <si>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</si>
  <si>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</si>
  <si>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</si>
  <si>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</si>
  <si>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</si>
  <si>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</si>
  <si>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</si>
  <si>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</si>
  <si>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</si>
  <si>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</si>
  <si>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</si>
  <si>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</si>
  <si>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</si>
  <si>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</si>
  <si>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</si>
  <si>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</si>
  <si>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</si>
  <si>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</si>
  <si>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</si>
  <si>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</si>
  <si>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</si>
  <si>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</si>
  <si>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</si>
  <si>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</si>
  <si>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</si>
  <si>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</si>
  <si>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</si>
  <si>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</si>
  <si>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</si>
  <si>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</si>
  <si>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</si>
  <si>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</si>
  <si>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</si>
  <si>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</si>
  <si>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</si>
  <si>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</si>
  <si>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</si>
  <si>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</si>
  <si>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</si>
  <si>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</si>
  <si>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</si>
  <si>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</si>
  <si>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</si>
  <si>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</si>
  <si>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</si>
  <si>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</si>
  <si>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</si>
  <si>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</si>
  <si>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</si>
  <si>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</si>
  <si>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</si>
  <si>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</si>
  <si>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</si>
  <si>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</si>
  <si>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</si>
  <si>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</si>
  <si>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</si>
  <si>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</si>
  <si>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</si>
  <si>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</si>
  <si>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</si>
  <si>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</si>
  <si>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</si>
  <si>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</si>
  <si>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</si>
  <si>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</si>
  <si>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</si>
  <si>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</si>
  <si>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</si>
  <si>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</si>
  <si>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</si>
  <si>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</si>
  <si>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</si>
  <si>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</si>
  <si>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</si>
  <si>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</si>
  <si>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</si>
  <si>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</si>
  <si>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</si>
  <si>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</si>
  <si>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</si>
  <si>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</si>
  <si>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</si>
  <si>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</si>
  <si>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</si>
  <si>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</si>
  <si>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</si>
  <si>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</si>
  <si>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</si>
  <si>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</si>
  <si>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</si>
  <si>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</si>
  <si>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</si>
  <si>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</si>
  <si>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</si>
  <si>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</si>
  <si>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</si>
  <si>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</si>
  <si>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</si>
  <si>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</si>
  <si>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</si>
  <si>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</si>
  <si>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</si>
  <si>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</si>
  <si>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</si>
  <si>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</si>
  <si>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</si>
  <si>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</si>
  <si>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</si>
  <si>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</si>
  <si>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</si>
  <si>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</si>
  <si>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</si>
  <si>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</si>
  <si>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</si>
  <si>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</si>
  <si>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</si>
  <si>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</si>
  <si>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</si>
  <si>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</si>
  <si>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</si>
  <si>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</si>
  <si>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</si>
  <si>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</si>
  <si>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</si>
  <si>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</si>
  <si>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</si>
  <si>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</si>
  <si>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</si>
  <si>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</si>
  <si>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</si>
  <si>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</si>
  <si>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</si>
  <si>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</si>
  <si>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</si>
  <si>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</si>
  <si>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</si>
  <si>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</si>
  <si>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</si>
  <si>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</si>
  <si>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</si>
  <si>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</si>
  <si>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</si>
  <si>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</si>
  <si>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</si>
  <si>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</si>
  <si>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</si>
  <si>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</si>
  <si>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</si>
  <si>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</si>
  <si>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</si>
  <si>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</si>
  <si>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</si>
  <si>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</si>
  <si>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</si>
  <si>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</si>
  <si>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</si>
  <si>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</si>
  <si>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</si>
  <si>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</si>
  <si>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</si>
  <si>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</si>
  <si>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</si>
  <si>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</si>
  <si>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</si>
  <si>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</si>
  <si>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</si>
  <si>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</si>
  <si>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</si>
  <si>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</si>
  <si>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</si>
  <si>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</si>
  <si>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</si>
  <si>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</si>
  <si>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</si>
  <si>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</si>
  <si>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</si>
  <si>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</si>
  <si>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</si>
  <si>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</si>
  <si>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</si>
  <si>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</si>
  <si>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</si>
  <si>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</si>
  <si>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</si>
  <si>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</si>
  <si>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</si>
  <si>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</si>
  <si>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</si>
  <si>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</si>
  <si>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</si>
  <si>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</si>
  <si>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</si>
  <si>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</si>
  <si>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</si>
  <si>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</si>
  <si>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</si>
  <si>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</si>
  <si>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</si>
  <si>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</si>
  <si>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</si>
  <si>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</si>
  <si>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</si>
  <si>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</si>
  <si>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</si>
  <si>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</si>
  <si>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</si>
  <si>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</si>
  <si>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</si>
  <si>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</si>
  <si>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</si>
  <si>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</si>
  <si>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</si>
  <si>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</si>
  <si>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</si>
  <si>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</si>
  <si>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</si>
  <si>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</si>
  <si>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</si>
  <si>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</si>
  <si>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</si>
  <si>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</si>
  <si>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</si>
  <si>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</si>
  <si>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</si>
  <si>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</si>
  <si>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</si>
  <si>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</si>
  <si>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</si>
  <si>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</si>
  <si>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</si>
  <si>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</si>
  <si>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</si>
  <si>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</si>
  <si>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</si>
  <si>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</si>
  <si>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</si>
  <si>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</si>
  <si>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</si>
  <si>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</si>
  <si>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</si>
  <si>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</si>
  <si>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</si>
  <si>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</si>
  <si>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</si>
  <si>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</si>
  <si>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</si>
  <si>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</si>
  <si>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</si>
  <si>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</si>
  <si>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</si>
  <si>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</si>
  <si>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</si>
  <si>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</si>
  <si>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</si>
  <si>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</si>
  <si>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</si>
  <si>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</si>
  <si>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</si>
  <si>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</si>
  <si>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</si>
  <si>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</si>
  <si>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</si>
  <si>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</si>
  <si>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</si>
  <si>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</si>
  <si>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</si>
  <si>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</si>
  <si>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</si>
  <si>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</si>
  <si>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</si>
  <si>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</si>
  <si>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</si>
  <si>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</si>
  <si>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</si>
  <si>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</si>
  <si>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</si>
  <si>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</si>
  <si>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</si>
  <si>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</si>
  <si>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</si>
  <si>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</si>
  <si>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</si>
  <si>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</si>
  <si>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</si>
  <si>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</si>
  <si>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</si>
  <si>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</si>
  <si>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</si>
  <si>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</si>
  <si>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</si>
  <si>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</si>
  <si>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</si>
  <si>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</si>
  <si>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</si>
  <si>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</si>
  <si>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</si>
  <si>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</si>
  <si>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</si>
  <si>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</si>
  <si>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</si>
  <si>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</si>
  <si>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</si>
  <si>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</si>
  <si>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</si>
  <si>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</si>
  <si>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</si>
  <si>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</si>
  <si>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</si>
  <si>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</si>
  <si>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</si>
  <si>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</si>
  <si>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</si>
  <si>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</si>
  <si>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</si>
  <si>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</si>
  <si>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</si>
  <si>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</si>
  <si>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</si>
  <si>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</si>
  <si>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</si>
  <si>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</si>
  <si>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</si>
  <si>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</si>
  <si>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</si>
  <si>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</si>
  <si>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</si>
  <si>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</si>
  <si>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</si>
  <si>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</si>
  <si>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</si>
  <si>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</si>
  <si>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</si>
  <si>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</si>
  <si>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</si>
  <si>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</si>
  <si>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</si>
  <si>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</si>
  <si>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</si>
  <si>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</si>
  <si>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</si>
  <si>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</si>
  <si>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</si>
  <si>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</si>
  <si>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</si>
  <si>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</si>
  <si>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</si>
  <si>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</si>
  <si>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</si>
  <si>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</si>
  <si>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</si>
  <si>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</si>
  <si>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</si>
  <si>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</si>
  <si>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</si>
  <si>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</si>
  <si>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</si>
  <si>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</si>
  <si>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</si>
  <si>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</si>
  <si>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</si>
  <si>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</si>
  <si>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</si>
  <si>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</si>
  <si>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</si>
  <si>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</si>
  <si>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</si>
  <si>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</si>
  <si>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</si>
  <si>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</si>
  <si>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</si>
  <si>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</si>
  <si>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</si>
  <si>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</si>
  <si>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</si>
  <si>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</si>
  <si>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</si>
  <si>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</si>
  <si>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</si>
  <si>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</si>
  <si>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</si>
  <si>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</si>
  <si>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</si>
  <si>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</si>
  <si>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</si>
  <si>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</si>
  <si>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</si>
  <si>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</si>
  <si>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</si>
  <si>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</si>
  <si>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</si>
  <si>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</si>
  <si>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</si>
  <si>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</si>
  <si>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</si>
  <si>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</si>
  <si>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</si>
  <si>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</si>
  <si>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</si>
  <si>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</si>
  <si>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</si>
  <si>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</si>
  <si>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</si>
  <si>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</si>
  <si>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</si>
  <si>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</si>
  <si>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</si>
  <si>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</si>
  <si>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</si>
  <si>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</si>
  <si>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</si>
  <si>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</si>
  <si>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</si>
  <si>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</si>
  <si>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</si>
  <si>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</si>
  <si>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</si>
  <si>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</si>
  <si>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</si>
  <si>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</si>
  <si>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</si>
  <si>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</si>
  <si>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</si>
  <si>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</si>
  <si>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</si>
  <si>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</si>
  <si>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</si>
  <si>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</si>
  <si>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</si>
  <si>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</si>
  <si>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</si>
  <si>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</si>
  <si>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</si>
  <si>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</si>
  <si>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</si>
  <si>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</si>
  <si>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</si>
  <si>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</si>
  <si>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</si>
  <si>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</si>
  <si>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</si>
  <si>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</si>
  <si>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</si>
  <si>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</si>
  <si>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</si>
  <si>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</si>
  <si>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</si>
  <si>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</si>
  <si>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</si>
  <si>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</si>
  <si>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</si>
  <si>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</si>
  <si>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</si>
  <si>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</si>
  <si>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</si>
  <si>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</si>
  <si>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</si>
  <si>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</si>
  <si>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</si>
  <si>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</si>
  <si>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</si>
  <si>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</si>
  <si>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</si>
  <si>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</si>
  <si>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</si>
  <si>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</si>
  <si>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</si>
  <si>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</si>
  <si>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</si>
  <si>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</si>
  <si>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</si>
  <si>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</si>
  <si>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</si>
  <si>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</si>
  <si>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</si>
  <si>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</si>
  <si>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</si>
  <si>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</si>
  <si>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</si>
  <si>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</si>
  <si>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</si>
  <si>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</si>
  <si>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</si>
  <si>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</si>
  <si>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</si>
  <si>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</si>
  <si>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May 2021 Publication</t>
  </si>
  <si>
    <t>SP Cashflow View</t>
  </si>
  <si>
    <t>Adjustment to taxable profit from 31 December year end to 31 March year end</t>
  </si>
  <si>
    <t>Corporation tax rate change adjustment</t>
  </si>
  <si>
    <t>Tax paid on items with no allowance</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</si>
  <si>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</si>
  <si>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</si>
  <si>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</si>
  <si>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</si>
  <si>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[Input description]</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</si>
  <si>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</si>
  <si>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</si>
  <si>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</si>
  <si>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</si>
  <si>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</si>
  <si>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Roundings</t>
  </si>
  <si>
    <t>2020/21 does not inlclude Stakeholder Engagement Reward. This has not been determined by Ofgem.</t>
  </si>
  <si>
    <t>Penalty only mechanism. No penalties incurred to date.</t>
  </si>
  <si>
    <t>The losses discretionary reward scheme is only applicable in 2016/17, 2018/19 and 2020/21. No reward was achieved in 2020/21.</t>
  </si>
  <si>
    <t>Total property, plant and equipment in use</t>
  </si>
  <si>
    <t>Right of use Assets under IFRS 16</t>
  </si>
  <si>
    <t>LCNF Payments Cost &amp; Payments</t>
  </si>
  <si>
    <t>SPPS Depreciation of Non-System assets</t>
  </si>
  <si>
    <t>Other operating income in Reg Accounts</t>
  </si>
  <si>
    <t>Connections &amp; Non Trading Re-Chargeable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</si>
  <si>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</si>
  <si>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</si>
  <si>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</si>
  <si>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</si>
  <si>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</si>
  <si>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</si>
  <si>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</si>
  <si>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Indirects income</t>
  </si>
  <si>
    <t>Pass through</t>
  </si>
  <si>
    <t>Other Non Activity Based Costs</t>
  </si>
  <si>
    <t>Total Costs outside Price Control</t>
  </si>
  <si>
    <t>Related Party Margin</t>
  </si>
  <si>
    <t>NIA &amp; IFI/LCNF</t>
  </si>
  <si>
    <t>Cash proceeds from sales of assets and scrap</t>
  </si>
  <si>
    <t>Value added services (DRS 8)</t>
  </si>
  <si>
    <t>Income from theft recovery</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</si>
  <si>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</si>
  <si>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</si>
  <si>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</si>
  <si>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</si>
  <si>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</si>
  <si>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</si>
  <si>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</si>
  <si>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</si>
  <si>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</si>
  <si>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</si>
  <si>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</si>
  <si>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</si>
  <si>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</si>
  <si>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</si>
  <si>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</si>
  <si>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</si>
  <si>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</si>
  <si>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</si>
  <si>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</si>
  <si>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</si>
  <si>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</si>
  <si>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</si>
  <si>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</si>
  <si>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18/19</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</si>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</sst>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23" applyNumberFormat="0" applyAlignment="0" applyProtection="0"/>
    <xf numFmtId="353" fontId="248" fillId="128" borderId="123" applyNumberFormat="0" applyAlignment="0" applyProtection="0"/>
    <xf numFmtId="353" fontId="85" fillId="125" borderId="19" applyNumberFormat="0" applyAlignment="0" applyProtection="0"/>
    <xf numFmtId="353" fontId="85" fillId="125"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24" applyNumberFormat="0" applyFill="0" applyAlignment="0" applyProtection="0"/>
    <xf numFmtId="353" fontId="120" fillId="0" borderId="124" applyNumberFormat="0" applyFill="0" applyAlignment="0" applyProtection="0"/>
    <xf numFmtId="353" fontId="123" fillId="0" borderId="125" applyNumberFormat="0" applyFill="0" applyAlignment="0" applyProtection="0"/>
    <xf numFmtId="353" fontId="123" fillId="0" borderId="125"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23" applyNumberFormat="0" applyAlignment="0" applyProtection="0"/>
    <xf numFmtId="353" fontId="137" fillId="14" borderId="123" applyNumberFormat="0" applyAlignment="0" applyProtection="0"/>
    <xf numFmtId="353" fontId="140" fillId="34" borderId="0"/>
    <xf numFmtId="353" fontId="113" fillId="0" borderId="126" applyNumberFormat="0" applyFill="0" applyAlignment="0" applyProtection="0"/>
    <xf numFmtId="353" fontId="113" fillId="0" borderId="126"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53" fontId="48" fillId="109" borderId="30"/>
    <xf numFmtId="4" fontId="254" fillId="33" borderId="123"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31"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32" applyNumberFormat="0" applyFill="0" applyAlignment="0" applyProtection="0"/>
    <xf numFmtId="353" fontId="10" fillId="0" borderId="132"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210" fontId="59" fillId="0" borderId="32" applyFill="0"/>
    <xf numFmtId="353" fontId="23"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3" fillId="0" borderId="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3" applyNumberFormat="0" applyProtection="0">
      <alignment horizontal="left" vertical="center" indent="1"/>
    </xf>
    <xf numFmtId="210" fontId="59" fillId="0" borderId="32" applyFill="0"/>
    <xf numFmtId="353" fontId="248" fillId="128" borderId="123" applyNumberFormat="0" applyAlignment="0" applyProtection="0"/>
    <xf numFmtId="353" fontId="248" fillId="128" borderId="123" applyNumberForma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164" fontId="2" fillId="0" borderId="0" applyFont="0" applyFill="0" applyBorder="0" applyAlignment="0" applyProtection="0"/>
    <xf numFmtId="353" fontId="48" fillId="30" borderId="128" applyNumberFormat="0" applyProtection="0">
      <alignment horizontal="left" vertical="top" indent="1"/>
    </xf>
    <xf numFmtId="164" fontId="1" fillId="0" borderId="0" applyFont="0" applyFill="0" applyBorder="0" applyAlignment="0" applyProtection="0"/>
    <xf numFmtId="353" fontId="88" fillId="31" borderId="130" applyBorder="0"/>
    <xf numFmtId="4" fontId="48" fillId="24" borderId="123" applyNumberFormat="0" applyProtection="0">
      <alignment horizontal="right" vertical="center"/>
    </xf>
    <xf numFmtId="353"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3" fontId="48" fillId="61" borderId="123" applyNumberFormat="0" applyProtection="0">
      <alignment horizontal="left" vertical="center" indent="1"/>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34" borderId="128" applyNumberFormat="0" applyProtection="0">
      <alignment vertical="center"/>
    </xf>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210" fontId="59" fillId="0" borderId="32" applyFill="0"/>
    <xf numFmtId="353" fontId="48" fillId="83" borderId="123" applyNumberFormat="0" applyProtection="0">
      <alignment horizontal="left" vertical="center" indent="1"/>
    </xf>
    <xf numFmtId="4" fontId="48" fillId="23" borderId="123" applyNumberFormat="0" applyProtection="0">
      <alignment horizontal="right" vertical="center"/>
    </xf>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164" fontId="8" fillId="0" borderId="0" applyFont="0" applyFill="0" applyBorder="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3"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3" fontId="48" fillId="30" borderId="128" applyNumberFormat="0" applyProtection="0">
      <alignment horizontal="left" vertical="top" indent="1"/>
    </xf>
    <xf numFmtId="353" fontId="252"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7" borderId="123" applyNumberFormat="0" applyProtection="0">
      <alignment horizontal="right" vertical="center"/>
    </xf>
    <xf numFmtId="353" fontId="48" fillId="19" borderId="128" applyNumberFormat="0" applyProtection="0">
      <alignment horizontal="left" vertical="top" indent="1"/>
    </xf>
    <xf numFmtId="164" fontId="7" fillId="0" borderId="0" applyFont="0" applyFill="0" applyBorder="0" applyAlignment="0" applyProtection="0"/>
    <xf numFmtId="353" fontId="48" fillId="19"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48" fillId="32" borderId="128" applyNumberFormat="0" applyProtection="0">
      <alignment horizontal="left" vertical="top" indent="1"/>
    </xf>
    <xf numFmtId="353" fontId="10" fillId="0" borderId="132" applyNumberFormat="0" applyFill="0" applyAlignment="0" applyProtection="0"/>
    <xf numFmtId="353" fontId="10" fillId="0" borderId="132" applyNumberFormat="0" applyFill="0" applyAlignment="0" applyProtection="0"/>
    <xf numFmtId="4" fontId="48" fillId="28" borderId="123" applyNumberFormat="0" applyProtection="0">
      <alignment horizontal="right" vertical="center"/>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251" fillId="18" borderId="128" applyNumberFormat="0" applyProtection="0">
      <alignment horizontal="left" vertical="top" indent="1"/>
    </xf>
    <xf numFmtId="353"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4" fontId="48" fillId="25"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3" fontId="179" fillId="128" borderId="127" applyNumberFormat="0" applyAlignment="0" applyProtection="0"/>
    <xf numFmtId="353" fontId="48" fillId="61" borderId="123" applyNumberFormat="0" applyProtection="0">
      <alignment horizontal="left" vertical="center" indent="1"/>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3" fontId="137" fillId="14" borderId="123" applyNumberFormat="0" applyAlignment="0" applyProtection="0"/>
    <xf numFmtId="353" fontId="48" fillId="61"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3" fontId="48" fillId="32" borderId="123" applyNumberFormat="0" applyProtection="0">
      <alignment horizontal="left" vertical="center" indent="1"/>
    </xf>
    <xf numFmtId="353" fontId="48" fillId="13" borderId="123" applyNumberFormat="0" applyFont="0" applyAlignment="0" applyProtection="0"/>
    <xf numFmtId="353" fontId="88" fillId="31" borderId="130" applyBorder="0"/>
    <xf numFmtId="353" fontId="10" fillId="0" borderId="132" applyNumberFormat="0" applyFill="0" applyAlignment="0" applyProtection="0"/>
    <xf numFmtId="164" fontId="7" fillId="0" borderId="0" applyFont="0" applyFill="0" applyBorder="0" applyAlignment="0" applyProtection="0"/>
    <xf numFmtId="353" fontId="248" fillId="128" borderId="123" applyNumberFormat="0" applyAlignment="0" applyProtection="0"/>
    <xf numFmtId="4" fontId="48" fillId="24" borderId="123" applyNumberFormat="0" applyProtection="0">
      <alignment horizontal="right" vertical="center"/>
    </xf>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252" fillId="19"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4" fontId="250" fillId="45" borderId="123" applyNumberFormat="0" applyProtection="0">
      <alignment vertical="center"/>
    </xf>
    <xf numFmtId="353" fontId="48" fillId="83" borderId="123" applyNumberFormat="0" applyProtection="0">
      <alignment horizontal="left" vertical="center" indent="1"/>
    </xf>
    <xf numFmtId="37" fontId="59" fillId="0" borderId="131" applyNumberFormat="0"/>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3"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3" applyNumberFormat="0" applyProtection="0">
      <alignment horizontal="left" vertical="center"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3" fontId="4" fillId="19" borderId="128" applyNumberFormat="0" applyProtection="0">
      <alignment horizontal="left" vertical="top" indent="1"/>
    </xf>
    <xf numFmtId="353" fontId="137" fillId="14" borderId="123" applyNumberFormat="0" applyAlignment="0" applyProtection="0"/>
    <xf numFmtId="353" fontId="10" fillId="0" borderId="132" applyNumberFormat="0" applyFill="0" applyAlignment="0" applyProtection="0"/>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179" fillId="128" borderId="127" applyNumberFormat="0" applyAlignment="0" applyProtection="0"/>
    <xf numFmtId="4" fontId="252" fillId="34" borderId="128" applyNumberFormat="0" applyProtection="0">
      <alignment vertical="center"/>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353"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3" fontId="48" fillId="13" borderId="123" applyNumberFormat="0" applyFont="0" applyAlignment="0" applyProtection="0"/>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3" borderId="123" applyNumberFormat="0" applyFont="0" applyAlignment="0" applyProtection="0"/>
    <xf numFmtId="4" fontId="48" fillId="24" borderId="123" applyNumberFormat="0" applyProtection="0">
      <alignment horizontal="right" vertical="center"/>
    </xf>
    <xf numFmtId="353" fontId="48" fillId="32" borderId="128" applyNumberFormat="0" applyProtection="0">
      <alignment horizontal="left" vertical="top"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248" fillId="128" borderId="123" applyNumberFormat="0" applyAlignment="0" applyProtection="0"/>
    <xf numFmtId="4" fontId="252" fillId="61" borderId="128" applyNumberFormat="0" applyProtection="0">
      <alignment horizontal="left" vertical="center" indent="1"/>
    </xf>
    <xf numFmtId="353" fontId="10" fillId="0" borderId="132" applyNumberFormat="0" applyFill="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248" fillId="128" borderId="123" applyNumberFormat="0" applyAlignment="0" applyProtection="0"/>
    <xf numFmtId="4" fontId="254" fillId="33" borderId="123" applyNumberFormat="0" applyProtection="0">
      <alignment horizontal="right" vertical="center"/>
    </xf>
    <xf numFmtId="353" fontId="88" fillId="31" borderId="130" applyBorder="0"/>
    <xf numFmtId="353" fontId="48" fillId="13" borderId="123" applyNumberFormat="0" applyFont="0" applyAlignment="0" applyProtection="0"/>
    <xf numFmtId="4" fontId="48" fillId="64" borderId="123" applyNumberFormat="0" applyProtection="0">
      <alignment horizontal="left" vertical="center"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3" borderId="123" applyNumberFormat="0" applyFont="0" applyAlignment="0" applyProtection="0"/>
    <xf numFmtId="353" fontId="179" fillId="128" borderId="127" applyNumberFormat="0" applyAlignment="0" applyProtection="0"/>
    <xf numFmtId="4" fontId="48" fillId="20" borderId="123" applyNumberFormat="0" applyProtection="0">
      <alignment horizontal="right" vertical="center"/>
    </xf>
    <xf numFmtId="353" fontId="48" fillId="31" borderId="128" applyNumberFormat="0" applyProtection="0">
      <alignment horizontal="left" vertical="top" indent="1"/>
    </xf>
    <xf numFmtId="353" fontId="88" fillId="31" borderId="130" applyBorder="0"/>
    <xf numFmtId="4" fontId="48" fillId="28"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48" fillId="26" borderId="123" applyNumberFormat="0" applyProtection="0">
      <alignment horizontal="right" vertical="center"/>
    </xf>
    <xf numFmtId="353" fontId="48" fillId="32" borderId="128" applyNumberFormat="0" applyProtection="0">
      <alignment horizontal="left" vertical="top" indent="1"/>
    </xf>
    <xf numFmtId="353" fontId="4" fillId="32" borderId="128" applyNumberFormat="0" applyProtection="0">
      <alignment horizontal="left" vertical="center" indent="1"/>
    </xf>
    <xf numFmtId="4" fontId="48" fillId="0" borderId="123" applyNumberFormat="0" applyProtection="0">
      <alignment horizontal="right" vertical="center"/>
    </xf>
    <xf numFmtId="353" fontId="48" fillId="19" borderId="128" applyNumberFormat="0" applyProtection="0">
      <alignment horizontal="left" vertical="top" indent="1"/>
    </xf>
    <xf numFmtId="353" fontId="248" fillId="128" borderId="123" applyNumberFormat="0" applyAlignment="0" applyProtection="0"/>
    <xf numFmtId="353"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4" fillId="33"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353" fontId="248" fillId="128" borderId="123" applyNumberFormat="0" applyAlignment="0" applyProtection="0"/>
    <xf numFmtId="353" fontId="252" fillId="34" borderId="128" applyNumberFormat="0" applyProtection="0">
      <alignment horizontal="left" vertical="top" indent="1"/>
    </xf>
    <xf numFmtId="353" fontId="4" fillId="30" borderId="128" applyNumberFormat="0" applyProtection="0">
      <alignment horizontal="left" vertical="center" indent="1"/>
    </xf>
    <xf numFmtId="4" fontId="254" fillId="33" borderId="123" applyNumberFormat="0" applyProtection="0">
      <alignment horizontal="right" vertical="center"/>
    </xf>
    <xf numFmtId="353" fontId="48" fillId="30" borderId="123" applyNumberFormat="0" applyProtection="0">
      <alignment horizontal="left" vertical="center" indent="1"/>
    </xf>
    <xf numFmtId="353" fontId="48" fillId="83" borderId="123" applyNumberFormat="0" applyProtection="0">
      <alignment horizontal="left" vertical="center" indent="1"/>
    </xf>
    <xf numFmtId="4" fontId="48" fillId="20" borderId="123" applyNumberFormat="0" applyProtection="0">
      <alignment horizontal="right" vertical="center"/>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13" borderId="123" applyNumberFormat="0" applyFont="0" applyAlignment="0" applyProtection="0"/>
    <xf numFmtId="4" fontId="48" fillId="23" borderId="123" applyNumberFormat="0" applyProtection="0">
      <alignment horizontal="right" vertical="center"/>
    </xf>
    <xf numFmtId="353" fontId="48" fillId="32" borderId="123" applyNumberFormat="0" applyProtection="0">
      <alignment horizontal="left" vertical="center" indent="1"/>
    </xf>
    <xf numFmtId="353" fontId="48" fillId="30" borderId="128" applyNumberFormat="0" applyProtection="0">
      <alignment horizontal="left" vertical="top" indent="1"/>
    </xf>
    <xf numFmtId="4" fontId="48" fillId="19" borderId="123" applyNumberFormat="0" applyProtection="0">
      <alignment horizontal="right" vertical="center"/>
    </xf>
    <xf numFmtId="353" fontId="252" fillId="34"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248" fillId="128" borderId="123" applyNumberFormat="0" applyAlignment="0" applyProtection="0"/>
    <xf numFmtId="353" fontId="48" fillId="31" borderId="128" applyNumberFormat="0" applyProtection="0">
      <alignment horizontal="left" vertical="top" indent="1"/>
    </xf>
    <xf numFmtId="353"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3" fontId="48" fillId="13" borderId="123" applyNumberFormat="0" applyFont="0" applyAlignment="0" applyProtection="0"/>
    <xf numFmtId="353" fontId="48" fillId="31" borderId="128" applyNumberFormat="0" applyProtection="0">
      <alignment horizontal="left" vertical="top" indent="1"/>
    </xf>
    <xf numFmtId="4" fontId="48" fillId="20" borderId="123" applyNumberFormat="0" applyProtection="0">
      <alignment horizontal="right" vertical="center"/>
    </xf>
    <xf numFmtId="353" fontId="137" fillId="14" borderId="123" applyNumberFormat="0" applyAlignment="0" applyProtection="0"/>
    <xf numFmtId="4" fontId="250" fillId="50" borderId="123" applyNumberFormat="0" applyProtection="0">
      <alignment horizontal="right" vertical="center"/>
    </xf>
    <xf numFmtId="353" fontId="48" fillId="31" borderId="128" applyNumberFormat="0" applyProtection="0">
      <alignment horizontal="left" vertical="top" indent="1"/>
    </xf>
    <xf numFmtId="4" fontId="253" fillId="35" borderId="129"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30" borderId="129" applyNumberFormat="0" applyProtection="0">
      <alignment horizontal="left" vertical="center" indent="1"/>
    </xf>
    <xf numFmtId="353" fontId="252" fillId="34" borderId="128" applyNumberFormat="0" applyProtection="0">
      <alignment horizontal="left" vertical="top" indent="1"/>
    </xf>
    <xf numFmtId="353"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3" fontId="10" fillId="0" borderId="132" applyNumberFormat="0" applyFill="0" applyAlignment="0" applyProtection="0"/>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23" borderId="123" applyNumberFormat="0" applyProtection="0">
      <alignment horizontal="right" vertical="center"/>
    </xf>
    <xf numFmtId="353" fontId="48" fillId="83"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 fillId="30" borderId="128" applyNumberFormat="0" applyProtection="0">
      <alignment horizontal="left" vertical="center" indent="1"/>
    </xf>
    <xf numFmtId="353" fontId="248" fillId="128" borderId="123" applyNumberFormat="0" applyAlignment="0" applyProtection="0"/>
    <xf numFmtId="353" fontId="48" fillId="30" borderId="123" applyNumberFormat="0" applyProtection="0">
      <alignment horizontal="left" vertical="center" indent="1"/>
    </xf>
    <xf numFmtId="353" fontId="48" fillId="32" borderId="128" applyNumberFormat="0" applyProtection="0">
      <alignment horizontal="left" vertical="top" indent="1"/>
    </xf>
    <xf numFmtId="37" fontId="59" fillId="0" borderId="131" applyNumberFormat="0"/>
    <xf numFmtId="353"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3" fontId="48" fillId="13" borderId="123" applyNumberFormat="0" applyFont="0" applyAlignment="0" applyProtection="0"/>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center" indent="1"/>
    </xf>
    <xf numFmtId="353" fontId="48" fillId="19" borderId="128" applyNumberFormat="0" applyProtection="0">
      <alignment horizontal="left" vertical="top" indent="1"/>
    </xf>
    <xf numFmtId="353" fontId="248" fillId="128" borderId="123" applyNumberFormat="0" applyAlignment="0" applyProtection="0"/>
    <xf numFmtId="4" fontId="48" fillId="24" borderId="123" applyNumberFormat="0" applyProtection="0">
      <alignment horizontal="right" vertical="center"/>
    </xf>
    <xf numFmtId="210" fontId="59" fillId="0" borderId="32" applyFill="0"/>
    <xf numFmtId="353" fontId="48" fillId="13" borderId="123" applyNumberFormat="0" applyFont="0" applyAlignment="0" applyProtection="0"/>
    <xf numFmtId="353" fontId="252" fillId="34" borderId="128" applyNumberFormat="0" applyProtection="0">
      <alignment horizontal="left" vertical="top" indent="1"/>
    </xf>
    <xf numFmtId="4" fontId="252" fillId="34" borderId="128" applyNumberFormat="0" applyProtection="0">
      <alignment vertical="center"/>
    </xf>
    <xf numFmtId="353" fontId="48" fillId="13" borderId="123" applyNumberFormat="0" applyFont="0" applyAlignment="0" applyProtection="0"/>
    <xf numFmtId="353" fontId="48" fillId="13" borderId="123" applyNumberFormat="0" applyFont="0" applyAlignment="0" applyProtection="0"/>
    <xf numFmtId="353"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137" fillId="14" borderId="123" applyNumberFormat="0" applyAlignment="0" applyProtection="0"/>
    <xf numFmtId="37" fontId="59" fillId="0" borderId="131" applyNumberFormat="0"/>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29" borderId="129" applyNumberFormat="0" applyProtection="0">
      <alignment horizontal="left" vertical="center" indent="1"/>
    </xf>
    <xf numFmtId="353"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3" fontId="48" fillId="30" borderId="128" applyNumberFormat="0" applyProtection="0">
      <alignment horizontal="left" vertical="top" indent="1"/>
    </xf>
    <xf numFmtId="4" fontId="252" fillId="61" borderId="128" applyNumberFormat="0" applyProtection="0">
      <alignment horizontal="left" vertical="center" indent="1"/>
    </xf>
    <xf numFmtId="353" fontId="4" fillId="30" borderId="128" applyNumberFormat="0" applyProtection="0">
      <alignment horizontal="left" vertical="center" indent="1"/>
    </xf>
    <xf numFmtId="4" fontId="48" fillId="64" borderId="123" applyNumberFormat="0" applyProtection="0">
      <alignment horizontal="left" vertical="center" indent="1"/>
    </xf>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210" fontId="59" fillId="0" borderId="32" applyFill="0"/>
    <xf numFmtId="353" fontId="48" fillId="32" borderId="128" applyNumberFormat="0" applyProtection="0">
      <alignment horizontal="left" vertical="top" indent="1"/>
    </xf>
    <xf numFmtId="4" fontId="48" fillId="19"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179" fillId="128" borderId="127" applyNumberFormat="0" applyAlignment="0" applyProtection="0"/>
    <xf numFmtId="353" fontId="48" fillId="61" borderId="123"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27" borderId="123" applyNumberFormat="0" applyProtection="0">
      <alignment horizontal="right" vertical="center"/>
    </xf>
    <xf numFmtId="353" fontId="251" fillId="18" borderId="128" applyNumberFormat="0" applyProtection="0">
      <alignment horizontal="left" vertical="top"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10" fillId="0" borderId="132" applyNumberFormat="0" applyFill="0" applyAlignment="0" applyProtection="0"/>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210" fontId="59" fillId="0" borderId="32" applyFill="0"/>
    <xf numFmtId="353"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 fillId="32" borderId="128" applyNumberFormat="0" applyProtection="0">
      <alignment horizontal="left" vertical="top" indent="1"/>
    </xf>
    <xf numFmtId="353" fontId="137" fillId="14" borderId="123" applyNumberFormat="0" applyAlignment="0" applyProtection="0"/>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4" fontId="48" fillId="131" borderId="123" applyNumberFormat="0" applyProtection="0">
      <alignment horizontal="right" vertical="center"/>
    </xf>
    <xf numFmtId="353" fontId="48" fillId="30" borderId="128" applyNumberFormat="0" applyProtection="0">
      <alignment horizontal="left" vertical="top" indent="1"/>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48" fillId="0" borderId="123" applyNumberFormat="0" applyProtection="0">
      <alignment horizontal="right" vertical="center"/>
    </xf>
    <xf numFmtId="353" fontId="4" fillId="32" borderId="128" applyNumberFormat="0" applyProtection="0">
      <alignment horizontal="left" vertical="top" indent="1"/>
    </xf>
    <xf numFmtId="37" fontId="59" fillId="0" borderId="131" applyNumberFormat="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3" fontId="248" fillId="128" borderId="123" applyNumberFormat="0" applyAlignment="0" applyProtection="0"/>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0" borderId="123" applyNumberFormat="0" applyProtection="0">
      <alignment horizontal="right" vertical="center"/>
    </xf>
    <xf numFmtId="353"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3" fontId="48" fillId="30" borderId="128" applyNumberFormat="0" applyProtection="0">
      <alignment horizontal="left" vertical="top" indent="1"/>
    </xf>
    <xf numFmtId="353" fontId="48" fillId="31"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4" fontId="48" fillId="64" borderId="123" applyNumberFormat="0" applyProtection="0">
      <alignment horizontal="left" vertical="center" indent="1"/>
    </xf>
    <xf numFmtId="353" fontId="48" fillId="30" borderId="128" applyNumberFormat="0" applyProtection="0">
      <alignment horizontal="left" vertical="top" indent="1"/>
    </xf>
    <xf numFmtId="353" fontId="48" fillId="19"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164" fontId="7" fillId="0" borderId="0" applyFont="0" applyFill="0" applyBorder="0" applyAlignment="0" applyProtection="0"/>
    <xf numFmtId="353"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 fillId="31" borderId="128" applyNumberFormat="0" applyProtection="0">
      <alignment horizontal="left" vertical="top" indent="1"/>
    </xf>
    <xf numFmtId="353" fontId="48" fillId="32" borderId="128" applyNumberFormat="0" applyProtection="0">
      <alignment horizontal="left" vertical="top" indent="1"/>
    </xf>
    <xf numFmtId="353" fontId="48" fillId="32" borderId="123"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3"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3" fontId="48" fillId="19" borderId="128" applyNumberFormat="0" applyProtection="0">
      <alignment horizontal="left" vertical="top" indent="1"/>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3" fontId="48" fillId="13" borderId="123" applyNumberFormat="0" applyFont="0" applyAlignment="0" applyProtection="0"/>
    <xf numFmtId="353" fontId="248" fillId="128" borderId="123" applyNumberFormat="0" applyAlignment="0" applyProtection="0"/>
    <xf numFmtId="4" fontId="48" fillId="131" borderId="123" applyNumberFormat="0" applyProtection="0">
      <alignment horizontal="right" vertical="center"/>
    </xf>
    <xf numFmtId="353" fontId="48" fillId="13" borderId="123" applyNumberFormat="0" applyFont="0" applyAlignment="0" applyProtection="0"/>
    <xf numFmtId="353"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10" fillId="0" borderId="132" applyNumberFormat="0" applyFill="0" applyAlignment="0" applyProtection="0"/>
    <xf numFmtId="353" fontId="48" fillId="32" borderId="128" applyNumberFormat="0" applyProtection="0">
      <alignment horizontal="left" vertical="top" indent="1"/>
    </xf>
    <xf numFmtId="353" fontId="248" fillId="128" borderId="123" applyNumberFormat="0" applyAlignment="0" applyProtection="0"/>
    <xf numFmtId="4" fontId="48" fillId="0" borderId="123" applyNumberFormat="0" applyProtection="0">
      <alignment horizontal="right" vertical="center"/>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 fillId="31" borderId="128" applyNumberFormat="0" applyProtection="0">
      <alignment horizontal="left" vertical="top" indent="1"/>
    </xf>
    <xf numFmtId="4" fontId="48" fillId="28" borderId="123" applyNumberFormat="0" applyProtection="0">
      <alignment horizontal="right" vertical="center"/>
    </xf>
    <xf numFmtId="353" fontId="251" fillId="18" borderId="128" applyNumberFormat="0" applyProtection="0">
      <alignment horizontal="left" vertical="top" indent="1"/>
    </xf>
    <xf numFmtId="353" fontId="88" fillId="31" borderId="130" applyBorder="0"/>
    <xf numFmtId="353" fontId="48" fillId="32" borderId="123" applyNumberFormat="0" applyProtection="0">
      <alignment horizontal="left" vertical="center" indent="1"/>
    </xf>
    <xf numFmtId="353" fontId="137" fillId="14" borderId="123" applyNumberFormat="0" applyAlignment="0" applyProtection="0"/>
    <xf numFmtId="4" fontId="252" fillId="61" borderId="128" applyNumberFormat="0" applyProtection="0">
      <alignment horizontal="left" vertical="center" indent="1"/>
    </xf>
    <xf numFmtId="353" fontId="48" fillId="13" borderId="123" applyNumberFormat="0" applyFont="0" applyAlignment="0" applyProtection="0"/>
    <xf numFmtId="353"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10" fillId="0" borderId="132" applyNumberFormat="0" applyFill="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252" fillId="34" borderId="128" applyNumberFormat="0" applyProtection="0">
      <alignment horizontal="left" vertical="top" indent="1"/>
    </xf>
    <xf numFmtId="353" fontId="48" fillId="32" borderId="128" applyNumberFormat="0" applyProtection="0">
      <alignment horizontal="left" vertical="top" indent="1"/>
    </xf>
    <xf numFmtId="353" fontId="252" fillId="19" borderId="128" applyNumberFormat="0" applyProtection="0">
      <alignment horizontal="left" vertical="top" indent="1"/>
    </xf>
    <xf numFmtId="353" fontId="88" fillId="31" borderId="130" applyBorder="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3" fontId="4" fillId="31" borderId="128" applyNumberFormat="0" applyProtection="0">
      <alignment horizontal="left" vertical="center" indent="1"/>
    </xf>
    <xf numFmtId="353" fontId="48" fillId="32"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4" fontId="48" fillId="18" borderId="123" applyNumberFormat="0" applyProtection="0">
      <alignment vertical="center"/>
    </xf>
    <xf numFmtId="353" fontId="4" fillId="31" borderId="128" applyNumberFormat="0" applyProtection="0">
      <alignment horizontal="left" vertical="center" indent="1"/>
    </xf>
    <xf numFmtId="353" fontId="48" fillId="30"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25" borderId="123" applyNumberFormat="0" applyProtection="0">
      <alignment horizontal="right" vertical="center"/>
    </xf>
    <xf numFmtId="353"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0" fillId="50" borderId="123" applyNumberFormat="0" applyProtection="0">
      <alignment horizontal="right" vertical="center"/>
    </xf>
    <xf numFmtId="353" fontId="10" fillId="0" borderId="132" applyNumberFormat="0" applyFill="0" applyAlignment="0" applyProtection="0"/>
    <xf numFmtId="4" fontId="252" fillId="34" borderId="128" applyNumberFormat="0" applyProtection="0">
      <alignment vertical="center"/>
    </xf>
    <xf numFmtId="353" fontId="48" fillId="30" borderId="128" applyNumberFormat="0" applyProtection="0">
      <alignment horizontal="left" vertical="top" indent="1"/>
    </xf>
    <xf numFmtId="353" fontId="88" fillId="31" borderId="130" applyBorder="0"/>
    <xf numFmtId="4" fontId="48" fillId="0" borderId="123" applyNumberFormat="0" applyProtection="0">
      <alignment horizontal="right" vertical="center"/>
    </xf>
    <xf numFmtId="353" fontId="48" fillId="30" borderId="128" applyNumberFormat="0" applyProtection="0">
      <alignment horizontal="left" vertical="top" indent="1"/>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353" fontId="137" fillId="14" borderId="123" applyNumberFormat="0" applyAlignment="0" applyProtection="0"/>
    <xf numFmtId="353" fontId="48" fillId="32" borderId="128" applyNumberFormat="0" applyProtection="0">
      <alignment horizontal="left" vertical="top" indent="1"/>
    </xf>
    <xf numFmtId="353" fontId="137" fillId="14" borderId="123" applyNumberFormat="0" applyAlignment="0" applyProtection="0"/>
    <xf numFmtId="353" fontId="48" fillId="83" borderId="123" applyNumberFormat="0" applyProtection="0">
      <alignment horizontal="left" vertical="center"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88" fillId="31" borderId="130" applyBorder="0"/>
    <xf numFmtId="4" fontId="48" fillId="22" borderId="129" applyNumberFormat="0" applyProtection="0">
      <alignment horizontal="right" vertical="center"/>
    </xf>
    <xf numFmtId="353" fontId="48" fillId="30" borderId="128" applyNumberFormat="0" applyProtection="0">
      <alignment horizontal="left" vertical="top" indent="1"/>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250" fillId="50"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3" fontId="48" fillId="19" borderId="128" applyNumberFormat="0" applyProtection="0">
      <alignment horizontal="left" vertical="top"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 fillId="32" borderId="128"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4" fontId="250" fillId="50" borderId="123" applyNumberFormat="0" applyProtection="0">
      <alignment horizontal="right" vertical="center"/>
    </xf>
    <xf numFmtId="353" fontId="4" fillId="30" borderId="128" applyNumberFormat="0" applyProtection="0">
      <alignment horizontal="left" vertical="top" indent="1"/>
    </xf>
    <xf numFmtId="353"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3" fontId="10" fillId="0" borderId="132" applyNumberFormat="0" applyFill="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252" fillId="34" borderId="128" applyNumberFormat="0" applyProtection="0">
      <alignment horizontal="left" vertical="top" indent="1"/>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3"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13" borderId="123" applyNumberFormat="0" applyFont="0" applyAlignment="0" applyProtection="0"/>
    <xf numFmtId="210" fontId="59" fillId="0" borderId="32" applyFill="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0" borderId="128" applyNumberFormat="0" applyProtection="0">
      <alignment horizontal="left" vertical="top" indent="1"/>
    </xf>
    <xf numFmtId="4" fontId="4" fillId="31" borderId="129" applyNumberFormat="0" applyProtection="0">
      <alignment horizontal="left" vertical="center" indent="1"/>
    </xf>
    <xf numFmtId="353" fontId="4" fillId="31" borderId="128" applyNumberFormat="0" applyProtection="0">
      <alignment horizontal="left" vertical="top" indent="1"/>
    </xf>
    <xf numFmtId="4" fontId="48" fillId="22" borderId="129" applyNumberFormat="0" applyProtection="0">
      <alignment horizontal="right" vertical="center"/>
    </xf>
    <xf numFmtId="353" fontId="48" fillId="61" borderId="123" applyNumberFormat="0" applyProtection="0">
      <alignment horizontal="left" vertical="center" indent="1"/>
    </xf>
    <xf numFmtId="4" fontId="48" fillId="45"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251" fillId="18" borderId="128" applyNumberFormat="0" applyProtection="0">
      <alignment horizontal="left" vertical="top" indent="1"/>
    </xf>
    <xf numFmtId="353" fontId="48" fillId="13" borderId="123" applyNumberFormat="0" applyFont="0" applyAlignment="0" applyProtection="0"/>
    <xf numFmtId="353"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23" applyNumberFormat="0" applyAlignment="0" applyProtection="0"/>
    <xf numFmtId="4" fontId="250" fillId="50" borderId="123" applyNumberFormat="0" applyProtection="0">
      <alignment horizontal="right" vertical="center"/>
    </xf>
    <xf numFmtId="353" fontId="137" fillId="14" borderId="123" applyNumberFormat="0" applyAlignment="0" applyProtection="0"/>
    <xf numFmtId="164" fontId="7" fillId="0" borderId="0" applyFont="0" applyFill="0" applyBorder="0" applyAlignment="0" applyProtection="0"/>
    <xf numFmtId="353" fontId="248" fillId="128" borderId="123" applyNumberFormat="0" applyAlignment="0" applyProtection="0"/>
    <xf numFmtId="4" fontId="48" fillId="45" borderId="123" applyNumberFormat="0" applyProtection="0">
      <alignment horizontal="left" vertical="center" indent="1"/>
    </xf>
    <xf numFmtId="353"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164" fontId="5" fillId="3" borderId="83" xfId="1" applyFont="1" applyFill="1" applyBorder="1" applyAlignment="1">
      <alignment horizontal="left" vertical="top"/>
    </xf>
    <xf numFmtId="164" fontId="5" fillId="3" borderId="84" xfId="1" applyFont="1" applyFill="1" applyBorder="1" applyAlignment="1">
      <alignment horizontal="left" vertical="top"/>
    </xf>
    <xf numFmtId="164" fontId="5" fillId="3" borderId="85" xfId="1" applyFont="1" applyFill="1" applyBorder="1" applyAlignment="1">
      <alignment horizontal="left" vertical="top"/>
    </xf>
    <xf numFmtId="43" fontId="0" fillId="0" borderId="0" xfId="0" applyNumberFormat="1" applyAlignment="1">
      <alignment horizontal="lef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5" fillId="36" borderId="9" xfId="75" applyNumberFormat="1" applyFont="1" applyFill="1" applyBorder="1" applyAlignment="1" applyProtection="1">
      <alignment vertical="center"/>
    </xf>
    <xf numFmtId="352" fontId="0" fillId="0" borderId="0" xfId="0" applyNumberFormat="1" applyFill="1"/>
    <xf numFmtId="0" fontId="0" fillId="3" borderId="0" xfId="0" applyFont="1" applyFill="1" applyAlignment="1">
      <alignment vertical="top"/>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907" t="s">
        <v>305</v>
      </c>
      <c r="B1" s="908"/>
      <c r="C1" s="908"/>
      <c r="D1" s="909"/>
      <c r="E1" s="910"/>
      <c r="F1" s="908"/>
      <c r="G1" s="911"/>
      <c r="H1" s="908"/>
      <c r="I1" s="908"/>
      <c r="J1" s="908"/>
      <c r="K1" s="908"/>
    </row>
    <row r="2" spans="1:11" s="31" customFormat="1" ht="20.25">
      <c r="A2" s="907" t="str">
        <f>'RFPR cover'!C5</f>
        <v>SPMW</v>
      </c>
      <c r="B2" s="908"/>
      <c r="C2" s="908"/>
      <c r="D2" s="910"/>
      <c r="E2" s="910"/>
      <c r="F2" s="908"/>
      <c r="G2" s="911"/>
      <c r="H2" s="908"/>
      <c r="I2" s="908"/>
      <c r="J2" s="908"/>
      <c r="K2" s="908"/>
    </row>
    <row r="3" spans="1:11" s="31" customFormat="1" ht="20.25">
      <c r="A3" s="907">
        <f>'RFPR cover'!C7</f>
        <v>2021</v>
      </c>
      <c r="B3" s="908"/>
      <c r="C3" s="908"/>
      <c r="D3" s="910"/>
      <c r="E3" s="910"/>
      <c r="F3" s="908"/>
      <c r="G3" s="911"/>
      <c r="H3" s="908"/>
      <c r="I3" s="908"/>
      <c r="J3" s="908"/>
      <c r="K3" s="908"/>
    </row>
    <row r="4" spans="1:11" ht="14.25">
      <c r="A4" s="30"/>
      <c r="B4" s="30"/>
      <c r="C4" s="30"/>
      <c r="D4" s="30"/>
      <c r="E4" s="30"/>
      <c r="H4" s="10"/>
      <c r="I4" s="10"/>
      <c r="J4" s="10"/>
    </row>
    <row r="5" spans="1:11" ht="13.5" customHeight="1">
      <c r="A5" s="30"/>
      <c r="B5" s="78" t="s">
        <v>62</v>
      </c>
      <c r="C5" s="45" t="s">
        <v>46</v>
      </c>
      <c r="D5" s="339"/>
      <c r="E5" s="19"/>
      <c r="F5" s="11"/>
      <c r="G5" s="550" t="s">
        <v>0</v>
      </c>
      <c r="H5" s="10"/>
      <c r="I5" s="10"/>
      <c r="J5" s="10"/>
    </row>
    <row r="6" spans="1:11" ht="13.5" customHeight="1">
      <c r="A6" s="30"/>
      <c r="B6" s="78" t="s">
        <v>188</v>
      </c>
      <c r="C6" s="83" t="str">
        <f>INDEX(Data!$A$73:$A$100,MATCH($C$5,Data!$B$73:$B$100,0),0)&amp;"1"</f>
        <v>ED1</v>
      </c>
      <c r="D6" s="19"/>
      <c r="E6" s="19"/>
      <c r="F6" s="9"/>
      <c r="G6" s="550" t="s">
        <v>1</v>
      </c>
      <c r="H6" s="10"/>
      <c r="I6" s="10"/>
      <c r="J6" s="10"/>
    </row>
    <row r="7" spans="1:11" ht="25.5">
      <c r="A7" s="30"/>
      <c r="B7" s="79" t="s">
        <v>187</v>
      </c>
      <c r="C7" s="84">
        <v>2021</v>
      </c>
      <c r="D7" s="18"/>
      <c r="E7" s="19"/>
      <c r="F7" s="8"/>
      <c r="G7" s="551" t="s">
        <v>2</v>
      </c>
      <c r="H7" s="10"/>
      <c r="I7" s="10"/>
      <c r="J7" s="10"/>
    </row>
    <row r="8" spans="1:11" ht="14.25">
      <c r="A8" s="30"/>
      <c r="B8" s="78" t="s">
        <v>37</v>
      </c>
      <c r="C8" s="1002">
        <v>1</v>
      </c>
      <c r="D8" s="19"/>
      <c r="E8" s="18"/>
      <c r="F8" s="7"/>
      <c r="G8" s="550" t="s">
        <v>3</v>
      </c>
      <c r="H8" s="10"/>
      <c r="I8" s="10"/>
      <c r="J8" s="10"/>
    </row>
    <row r="9" spans="1:11" ht="14.25">
      <c r="A9" s="30"/>
      <c r="B9" s="78" t="s">
        <v>38</v>
      </c>
      <c r="C9" s="85">
        <v>44408</v>
      </c>
      <c r="D9" s="18"/>
      <c r="E9" s="18"/>
      <c r="F9" s="6"/>
      <c r="G9" s="550" t="s">
        <v>4</v>
      </c>
      <c r="H9" s="10"/>
      <c r="I9" s="10"/>
      <c r="J9" s="10"/>
    </row>
    <row r="10" spans="1:11" ht="14.25">
      <c r="A10" s="30"/>
      <c r="B10" s="78" t="s">
        <v>70</v>
      </c>
      <c r="C10" s="86">
        <f>SUMIF(Data!$B$72:$B$100,C5,Data!$C$72:$C$100)</f>
        <v>0.06</v>
      </c>
      <c r="D10" s="18"/>
      <c r="E10" s="18"/>
      <c r="F10" s="5"/>
      <c r="G10" s="550" t="s">
        <v>5</v>
      </c>
      <c r="H10" s="10"/>
      <c r="I10" s="10"/>
      <c r="J10" s="10"/>
    </row>
    <row r="11" spans="1:11" ht="14.25">
      <c r="A11" s="30"/>
      <c r="B11" s="78" t="s">
        <v>71</v>
      </c>
      <c r="C11" s="87">
        <f>SUMIF(Data!$B$72:$B$100,C5,Data!$D$72:$D$100)</f>
        <v>0.53500000000000003</v>
      </c>
      <c r="D11" s="19"/>
      <c r="E11" s="19"/>
      <c r="F11" s="4"/>
      <c r="G11" s="550" t="s">
        <v>6</v>
      </c>
      <c r="H11" s="10"/>
      <c r="I11" s="10"/>
      <c r="J11" s="10"/>
    </row>
    <row r="12" spans="1:11">
      <c r="A12" s="30"/>
      <c r="B12" s="78" t="s">
        <v>115</v>
      </c>
      <c r="C12" s="86">
        <f>SUMIF(Data!$B$72:$B$100,C5,Data!$E$72:$E$100)</f>
        <v>0.65</v>
      </c>
      <c r="D12" s="18"/>
      <c r="E12" s="18"/>
      <c r="F12" s="18"/>
      <c r="G12" s="552"/>
    </row>
    <row r="13" spans="1:11">
      <c r="A13" s="30"/>
      <c r="B13" s="78" t="s">
        <v>494</v>
      </c>
      <c r="C13" s="83">
        <f>INDEX(Data!$G$73:$G$100,MATCH($C$5,Data!$B$73:$B$100,0),0)</f>
        <v>2016</v>
      </c>
      <c r="D13" s="18"/>
      <c r="E13" s="18"/>
      <c r="F13" s="77" t="s">
        <v>190</v>
      </c>
    </row>
    <row r="14" spans="1:11">
      <c r="A14" s="30"/>
      <c r="B14" s="80" t="s">
        <v>184</v>
      </c>
      <c r="C14" s="83" t="str">
        <f>INDEX(Data!$H$73:$H$100,MATCH($C$5,Data!$B$73:$B$100,0),0)</f>
        <v>£m 12/13</v>
      </c>
      <c r="D14" s="18"/>
      <c r="E14" s="18"/>
      <c r="F14" s="89">
        <v>0.1</v>
      </c>
      <c r="G14" s="552"/>
    </row>
    <row r="15" spans="1:11">
      <c r="A15" s="30"/>
      <c r="B15" s="18"/>
      <c r="C15" s="18"/>
      <c r="D15" s="18"/>
      <c r="E15" s="18"/>
      <c r="F15" s="18"/>
      <c r="G15" s="552"/>
    </row>
    <row r="85" spans="1:1">
      <c r="A85" s="204"/>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912" t="s">
        <v>359</v>
      </c>
      <c r="B1" s="913"/>
      <c r="C1" s="913"/>
      <c r="D1" s="913"/>
      <c r="E1" s="913"/>
      <c r="F1" s="913"/>
      <c r="G1" s="913"/>
      <c r="H1" s="913"/>
      <c r="I1" s="913"/>
      <c r="J1" s="913"/>
      <c r="K1" s="913"/>
      <c r="L1" s="913"/>
      <c r="M1" s="913"/>
      <c r="N1" s="914"/>
    </row>
    <row r="2" spans="1:14" ht="20.25">
      <c r="A2" s="915" t="str">
        <f>'RFPR cover'!C5</f>
        <v>SPMW</v>
      </c>
      <c r="B2" s="916"/>
      <c r="C2" s="916"/>
      <c r="D2" s="916"/>
      <c r="E2" s="916"/>
      <c r="F2" s="916"/>
      <c r="G2" s="916"/>
      <c r="H2" s="916"/>
      <c r="I2" s="916"/>
      <c r="J2" s="916"/>
      <c r="K2" s="916"/>
      <c r="L2" s="916"/>
      <c r="M2" s="916"/>
      <c r="N2" s="917"/>
    </row>
    <row r="3" spans="1:14" ht="20.25">
      <c r="A3" s="918">
        <f>'RFPR cover'!C7</f>
        <v>2021</v>
      </c>
      <c r="B3" s="919"/>
      <c r="C3" s="919"/>
      <c r="D3" s="919"/>
      <c r="E3" s="919"/>
      <c r="F3" s="919"/>
      <c r="G3" s="919"/>
      <c r="H3" s="919"/>
      <c r="I3" s="919"/>
      <c r="J3" s="919"/>
      <c r="K3" s="919"/>
      <c r="L3" s="919"/>
      <c r="M3" s="919"/>
      <c r="N3" s="920"/>
    </row>
    <row r="6" spans="1:14">
      <c r="A6" s="30"/>
      <c r="B6" s="21">
        <v>2018</v>
      </c>
      <c r="C6" s="20" t="s">
        <v>63</v>
      </c>
      <c r="D6" s="18"/>
      <c r="E6" s="18"/>
      <c r="F6" s="845"/>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3" t="s">
        <v>39</v>
      </c>
      <c r="C13" s="554" t="s">
        <v>40</v>
      </c>
      <c r="D13" s="554" t="s">
        <v>191</v>
      </c>
      <c r="E13" s="554" t="s">
        <v>41</v>
      </c>
      <c r="F13" s="554" t="s">
        <v>42</v>
      </c>
      <c r="G13" s="555" t="s">
        <v>318</v>
      </c>
    </row>
    <row r="14" spans="1:14">
      <c r="A14" s="30"/>
      <c r="B14" s="162" t="s">
        <v>74</v>
      </c>
      <c r="C14" s="169">
        <v>2010</v>
      </c>
      <c r="D14" s="163" t="str">
        <f>IF(VALUE(C14)&lt;='RFPR cover'!$C$7,"Actual","Forecast")</f>
        <v>Actual</v>
      </c>
      <c r="E14" s="374">
        <v>215.767</v>
      </c>
      <c r="F14" s="499">
        <v>221.75</v>
      </c>
      <c r="G14" s="164">
        <v>0.28000000000000003</v>
      </c>
      <c r="H14" s="846"/>
      <c r="J14" s="847"/>
    </row>
    <row r="15" spans="1:14">
      <c r="A15" s="30"/>
      <c r="B15" s="165" t="s">
        <v>75</v>
      </c>
      <c r="C15" s="170">
        <v>2011</v>
      </c>
      <c r="D15" s="166" t="str">
        <f>IF(VALUE(C15)&lt;='RFPR cover'!$C$7,"Actual","Forecast")</f>
        <v>Actual</v>
      </c>
      <c r="E15" s="375">
        <v>226.47499999999999</v>
      </c>
      <c r="F15" s="500">
        <v>233.45</v>
      </c>
      <c r="G15" s="167">
        <v>0.28000000000000003</v>
      </c>
      <c r="H15" s="846"/>
      <c r="J15" s="847"/>
    </row>
    <row r="16" spans="1:14" ht="14.25" customHeight="1">
      <c r="A16" s="30"/>
      <c r="B16" s="165" t="s">
        <v>76</v>
      </c>
      <c r="C16" s="170">
        <v>2012</v>
      </c>
      <c r="D16" s="166" t="str">
        <f>IF(VALUE(C16)&lt;='RFPR cover'!$C$7,"Actual","Forecast")</f>
        <v>Actual</v>
      </c>
      <c r="E16" s="375">
        <v>237.34200000000001</v>
      </c>
      <c r="F16" s="500">
        <v>241.65</v>
      </c>
      <c r="G16" s="167">
        <v>0.26</v>
      </c>
      <c r="H16" s="846"/>
      <c r="J16" s="847"/>
    </row>
    <row r="17" spans="2:10">
      <c r="B17" s="165" t="s">
        <v>77</v>
      </c>
      <c r="C17" s="170">
        <v>2013</v>
      </c>
      <c r="D17" s="166" t="str">
        <f>IF(VALUE(C17)&lt;='RFPR cover'!$C$7,"Actual","Forecast")</f>
        <v>Actual</v>
      </c>
      <c r="E17" s="375">
        <v>244.67500000000001</v>
      </c>
      <c r="F17" s="500">
        <v>249.1</v>
      </c>
      <c r="G17" s="167">
        <v>0.24</v>
      </c>
      <c r="H17" s="846"/>
      <c r="J17" s="847"/>
    </row>
    <row r="18" spans="2:10">
      <c r="B18" s="165" t="s">
        <v>78</v>
      </c>
      <c r="C18" s="170">
        <v>2014</v>
      </c>
      <c r="D18" s="166" t="str">
        <f>IF(VALUE(C18)&lt;='RFPR cover'!$C$7,"Actual","Forecast")</f>
        <v>Actual</v>
      </c>
      <c r="E18" s="375">
        <v>251.733</v>
      </c>
      <c r="F18" s="500">
        <v>255.25</v>
      </c>
      <c r="G18" s="167">
        <v>0.23</v>
      </c>
      <c r="H18" s="846"/>
      <c r="I18" s="519"/>
      <c r="J18" s="847"/>
    </row>
    <row r="19" spans="2:10">
      <c r="B19" s="165" t="s">
        <v>79</v>
      </c>
      <c r="C19" s="170">
        <v>2015</v>
      </c>
      <c r="D19" s="166" t="str">
        <f>IF(VALUE(C19)&lt;='RFPR cover'!$C$7,"Actual","Forecast")</f>
        <v>Actual</v>
      </c>
      <c r="E19" s="375">
        <v>256.66699999999997</v>
      </c>
      <c r="F19" s="500">
        <v>257.55</v>
      </c>
      <c r="G19" s="167">
        <v>0.21</v>
      </c>
      <c r="H19" s="846"/>
      <c r="I19" s="519"/>
      <c r="J19" s="847"/>
    </row>
    <row r="20" spans="2:10">
      <c r="B20" s="165" t="s">
        <v>80</v>
      </c>
      <c r="C20" s="170">
        <v>2016</v>
      </c>
      <c r="D20" s="166" t="str">
        <f>IF(VALUE(C20)&lt;='RFPR cover'!$C$7,"Actual","Forecast")</f>
        <v>Actual</v>
      </c>
      <c r="E20" s="375">
        <v>259.43299999999999</v>
      </c>
      <c r="F20" s="500">
        <v>261.25</v>
      </c>
      <c r="G20" s="167">
        <v>0.2</v>
      </c>
      <c r="H20" s="846"/>
      <c r="I20" s="519"/>
      <c r="J20" s="847"/>
    </row>
    <row r="21" spans="2:10">
      <c r="B21" s="165" t="s">
        <v>81</v>
      </c>
      <c r="C21" s="170">
        <v>2017</v>
      </c>
      <c r="D21" s="166" t="str">
        <f>IF(VALUE(C21)&lt;='RFPR cover'!$C$7,"Actual","Forecast")</f>
        <v>Actual</v>
      </c>
      <c r="E21" s="375">
        <v>264.99200000000002</v>
      </c>
      <c r="F21" s="500">
        <v>269.95000000000005</v>
      </c>
      <c r="G21" s="167">
        <v>0.2</v>
      </c>
      <c r="H21" s="846"/>
      <c r="I21" s="519"/>
      <c r="J21" s="847"/>
    </row>
    <row r="22" spans="2:10">
      <c r="B22" s="165" t="s">
        <v>63</v>
      </c>
      <c r="C22" s="170">
        <v>2018</v>
      </c>
      <c r="D22" s="166" t="str">
        <f>IF(VALUE(C22)&lt;='RFPR cover'!$C$7,"Actual","Forecast")</f>
        <v>Actual</v>
      </c>
      <c r="E22" s="375">
        <v>274.90800000000002</v>
      </c>
      <c r="F22" s="500">
        <v>279</v>
      </c>
      <c r="G22" s="167">
        <v>0.19</v>
      </c>
      <c r="H22" s="846"/>
      <c r="I22" s="519"/>
      <c r="J22" s="847"/>
    </row>
    <row r="23" spans="2:10">
      <c r="B23" s="502" t="s">
        <v>64</v>
      </c>
      <c r="C23" s="503">
        <v>2019</v>
      </c>
      <c r="D23" s="166" t="str">
        <f>IF(VALUE(C23)&lt;='RFPR cover'!$C$7,"Actual","Forecast")</f>
        <v>Actual</v>
      </c>
      <c r="E23" s="375">
        <v>283.30799999999999</v>
      </c>
      <c r="F23" s="500">
        <v>286.64999999999998</v>
      </c>
      <c r="G23" s="167">
        <v>0.19</v>
      </c>
      <c r="H23" s="846"/>
      <c r="J23" s="847"/>
    </row>
    <row r="24" spans="2:10">
      <c r="B24" s="502" t="s">
        <v>65</v>
      </c>
      <c r="C24" s="503">
        <v>2020</v>
      </c>
      <c r="D24" s="166" t="str">
        <f>IF(VALUE(C24)&lt;='RFPR cover'!$C$7,"Actual","Forecast")</f>
        <v>Actual</v>
      </c>
      <c r="E24" s="375">
        <v>290.642</v>
      </c>
      <c r="F24" s="375">
        <v>292.60000000000002</v>
      </c>
      <c r="G24" s="167">
        <v>0.19</v>
      </c>
    </row>
    <row r="25" spans="2:10">
      <c r="B25" s="502" t="s">
        <v>66</v>
      </c>
      <c r="C25" s="503">
        <v>2021</v>
      </c>
      <c r="D25" s="166" t="str">
        <f>IF(VALUE(C25)&lt;='RFPR cover'!$C$7,"Actual","Forecast")</f>
        <v>Actual</v>
      </c>
      <c r="E25" s="375">
        <v>294.16666666666669</v>
      </c>
      <c r="F25" s="375">
        <v>299</v>
      </c>
      <c r="G25" s="167">
        <v>0.19</v>
      </c>
      <c r="H25" s="1003"/>
      <c r="J25" s="847"/>
    </row>
    <row r="26" spans="2:10">
      <c r="B26" s="502" t="s">
        <v>67</v>
      </c>
      <c r="C26" s="503">
        <v>2022</v>
      </c>
      <c r="D26" s="166" t="str">
        <f>IF(VALUE(C26)&lt;='RFPR cover'!$C$7,"Actual","Forecast")</f>
        <v>Forecast</v>
      </c>
      <c r="E26" s="501">
        <f t="shared" ref="E26:F27" si="0">E25*(1+INDEX($D$43:$J$43,0,MATCH($C26,$D$42:$J$42,0)))</f>
        <v>301.96208333333334</v>
      </c>
      <c r="F26" s="501">
        <f t="shared" si="0"/>
        <v>306.92349999999999</v>
      </c>
      <c r="G26" s="167">
        <v>0.19</v>
      </c>
      <c r="H26" s="846"/>
      <c r="J26" s="847"/>
    </row>
    <row r="27" spans="2:10">
      <c r="B27" s="502" t="s">
        <v>68</v>
      </c>
      <c r="C27" s="503">
        <v>2023</v>
      </c>
      <c r="D27" s="166" t="str">
        <f>IF(VALUE(C27)&lt;='RFPR cover'!$C$7,"Actual","Forecast")</f>
        <v>Forecast</v>
      </c>
      <c r="E27" s="501">
        <f t="shared" si="0"/>
        <v>311.24741739583334</v>
      </c>
      <c r="F27" s="501">
        <f t="shared" si="0"/>
        <v>316.361397625</v>
      </c>
      <c r="G27" s="167">
        <v>0.19</v>
      </c>
      <c r="H27" s="846"/>
      <c r="J27" s="847"/>
    </row>
    <row r="28" spans="2:10">
      <c r="B28" s="502" t="s">
        <v>204</v>
      </c>
      <c r="C28" s="503">
        <v>2024</v>
      </c>
      <c r="D28" s="166" t="str">
        <f>IF(VALUE(C28)&lt;='RFPR cover'!$C$7,"Actual","Forecast")</f>
        <v>Forecast</v>
      </c>
      <c r="E28" s="377"/>
      <c r="F28" s="377"/>
      <c r="G28" s="167">
        <v>0.19</v>
      </c>
    </row>
    <row r="29" spans="2:10">
      <c r="B29" s="502" t="s">
        <v>205</v>
      </c>
      <c r="C29" s="503">
        <v>2025</v>
      </c>
      <c r="D29" s="166" t="str">
        <f>IF(VALUE(C29)&lt;='RFPR cover'!$C$7,"Actual","Forecast")</f>
        <v>Forecast</v>
      </c>
      <c r="E29" s="377"/>
      <c r="F29" s="377"/>
      <c r="G29" s="167">
        <v>0.25</v>
      </c>
    </row>
    <row r="30" spans="2:10">
      <c r="B30" s="504" t="s">
        <v>206</v>
      </c>
      <c r="C30" s="505">
        <v>2026</v>
      </c>
      <c r="D30" s="168" t="str">
        <f>IF(VALUE(C30)&lt;='RFPR cover'!$C$7,"Actual","Forecast")</f>
        <v>Forecast</v>
      </c>
      <c r="E30" s="376"/>
      <c r="F30" s="376"/>
      <c r="G30" s="167">
        <v>0.25</v>
      </c>
    </row>
    <row r="31" spans="2:10">
      <c r="B31" s="88"/>
      <c r="C31" s="67"/>
      <c r="D31" s="67"/>
      <c r="E31" s="67"/>
      <c r="F31" s="67"/>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Forecast</v>
      </c>
      <c r="J32" s="345" t="str">
        <f>IF(J33&lt;='RFPR cover'!$C$7,"Actuals","Forecast")</f>
        <v>Forecast</v>
      </c>
    </row>
    <row r="33" spans="2:14"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4" ht="15.75" customHeight="1">
      <c r="B34" s="497" t="s">
        <v>360</v>
      </c>
      <c r="C34" s="495">
        <f>INDEX(Data!$E$14:$E$30,MATCH(C$33,Data!$C$14:$C$30,0),0)/IF('RFPR cover'!$C$6="ED1",Data!$E$17,Data!$E$14)</f>
        <v>1.0603167467048125</v>
      </c>
      <c r="D34" s="492">
        <f>INDEX(Data!$E$14:$E$30,MATCH(D$33,Data!$C$14:$C$30,0),0)/IF('RFPR cover'!$C$6="ED1",Data!$E$17,Data!$E$14)</f>
        <v>1.0830366813119445</v>
      </c>
      <c r="E34" s="492">
        <f>INDEX(Data!$E$14:$E$30,MATCH(E$33,Data!$C$14:$C$30,0),0)/IF('RFPR cover'!$C$6="ED1",Data!$E$17,Data!$E$14)</f>
        <v>1.1235639113109226</v>
      </c>
      <c r="F34" s="492">
        <f>INDEX(Data!$E$14:$E$30,MATCH(F$33,Data!$C$14:$C$30,0),0)/IF('RFPR cover'!$C$6="ED1",Data!$E$17,Data!$E$14)</f>
        <v>1.1578951670583426</v>
      </c>
      <c r="G34" s="492">
        <f>INDEX(Data!$E$14:$E$30,MATCH(G$33,Data!$C$14:$C$30,0),0)/IF('RFPR cover'!$C$6="ED1",Data!$E$17,Data!$E$14)</f>
        <v>1.1878696229692449</v>
      </c>
      <c r="H34" s="492">
        <f>INDEX(Data!$E$14:$E$30,MATCH(H$33,Data!$C$14:$C$30,0),0)/IF('RFPR cover'!$C$6="ED1",Data!$E$17,Data!$E$14)</f>
        <v>1.202275126868976</v>
      </c>
      <c r="I34" s="493">
        <f>INDEX(Data!$E$14:$E$30,MATCH(I$33,Data!$C$14:$C$30,0),0)/IF('RFPR cover'!$C$6="ED1",Data!$E$17,Data!$E$14)</f>
        <v>1.2341354177310038</v>
      </c>
      <c r="J34" s="494">
        <f>INDEX(Data!$E$14:$E$30,MATCH(J$33,Data!$C$14:$C$30,0),0)/IF('RFPR cover'!$C$6="ED1",Data!$E$17,Data!$E$14)</f>
        <v>1.2720850818262321</v>
      </c>
    </row>
    <row r="35" spans="2:14" ht="15.75" customHeight="1">
      <c r="B35" s="498" t="s">
        <v>42</v>
      </c>
      <c r="C35" s="496">
        <f>INDEX(Data!$F$14:$F$30,MATCH(C$33,Data!$C$14:$C$30,0),0)/IF('RFPR cover'!$C$6="ED1",Data!$E$17,Data!$E$14)</f>
        <v>1.0677429242873198</v>
      </c>
      <c r="D35" s="496">
        <f>INDEX(Data!$F$14:$F$30,MATCH(D$33,Data!$C$14:$C$30,0),0)/IF('RFPR cover'!$C$6="ED1",Data!$E$17,Data!$E$14)</f>
        <v>1.1033002963114336</v>
      </c>
      <c r="E35" s="496">
        <f>INDEX(Data!$F$14:$F$30,MATCH(E$33,Data!$C$14:$C$30,0),0)/IF('RFPR cover'!$C$6="ED1",Data!$E$17,Data!$E$14)</f>
        <v>1.1402881373250229</v>
      </c>
      <c r="F35" s="496">
        <f>INDEX(Data!$F$14:$F$30,MATCH(F$33,Data!$C$14:$C$30,0),0)/IF('RFPR cover'!$C$6="ED1",Data!$E$17,Data!$E$14)</f>
        <v>1.171554102380709</v>
      </c>
      <c r="G35" s="496">
        <f>INDEX(Data!$F$14:$F$30,MATCH(G$33,Data!$C$14:$C$30,0),0)/IF('RFPR cover'!$C$6="ED1",Data!$E$17,Data!$E$14)</f>
        <v>1.1958720752017984</v>
      </c>
      <c r="H35" s="496">
        <f>INDEX(Data!$F$14:$F$30,MATCH(H$33,Data!$C$14:$C$30,0),0)/IF('RFPR cover'!$C$6="ED1",Data!$E$17,Data!$E$14)</f>
        <v>1.2220292224379279</v>
      </c>
      <c r="I35" s="496">
        <f>INDEX(Data!$F$14:$F$30,MATCH(I$33,Data!$C$14:$C$30,0),0)/IF('RFPR cover'!$C$6="ED1",Data!$E$17,Data!$E$14)</f>
        <v>1.2544129968325328</v>
      </c>
      <c r="J35" s="496">
        <f>INDEX(Data!$F$14:$F$30,MATCH(J$33,Data!$C$14:$C$30,0),0)/IF('RFPR cover'!$C$6="ED1",Data!$E$17,Data!$E$14)</f>
        <v>1.2929861964851332</v>
      </c>
    </row>
    <row r="36" spans="2:14">
      <c r="B36" s="498" t="s">
        <v>490</v>
      </c>
      <c r="C36" s="496">
        <f>INDEX(Data!$E$14:$E$30,MATCH(C$33,Data!$C$14:$C$30,0))/INDEX(Data!$E$14:$E$30,MATCH(C$33-1,Data!$C$14:$C$30,0))</f>
        <v>1.0107766093810269</v>
      </c>
      <c r="D36" s="496">
        <f>INDEX(Data!$E$14:$E$30,MATCH(D$33,Data!$C$14:$C$30,0))/INDEX(Data!$E$14:$E$30,MATCH(D$33-1,Data!$C$14:$C$30,0))</f>
        <v>1.0214274976583551</v>
      </c>
      <c r="E36" s="496">
        <f>INDEX(Data!$E$14:$E$30,MATCH(E$33,Data!$C$14:$C$30,0))/INDEX(Data!$E$14:$E$30,MATCH(E$33-1,Data!$C$14:$C$30,0))</f>
        <v>1.0374199975848328</v>
      </c>
      <c r="F36" s="496">
        <f>INDEX(Data!$E$14:$E$30,MATCH(F$33,Data!$C$14:$C$30,0))/INDEX(Data!$E$14:$E$30,MATCH(F$33-1,Data!$C$14:$C$30,0))</f>
        <v>1.0305556768082411</v>
      </c>
      <c r="G36" s="496">
        <f>INDEX(Data!$E$14:$E$30,MATCH(G$33,Data!$C$14:$C$30,0))/INDEX(Data!$E$14:$E$30,MATCH(G$33-1,Data!$C$14:$C$30,0))</f>
        <v>1.0258870204865376</v>
      </c>
      <c r="H36" s="496">
        <f>INDEX(Data!$E$14:$E$30,MATCH(H$33,Data!$C$14:$C$30,0))/INDEX(Data!$E$14:$E$30,MATCH(H$33-1,Data!$C$14:$C$30,0))</f>
        <v>1.0121271759300676</v>
      </c>
      <c r="I36" s="496">
        <f>INDEX(Data!$E$14:$E$30,MATCH(I$33,Data!$C$14:$C$30,0))/INDEX(Data!$E$14:$E$30,MATCH(I$33-1,Data!$C$14:$C$30,0))</f>
        <v>1.0265</v>
      </c>
      <c r="J36" s="496">
        <f>INDEX(Data!$E$14:$E$30,MATCH(J$33,Data!$C$14:$C$30,0))/INDEX(Data!$E$14:$E$30,MATCH(J$33-1,Data!$C$14:$C$30,0))</f>
        <v>1.0307500000000001</v>
      </c>
    </row>
    <row r="37" spans="2:14" ht="15.75" customHeight="1">
      <c r="B37" s="14" t="s">
        <v>273</v>
      </c>
      <c r="F37" s="519"/>
    </row>
    <row r="38" spans="2:14">
      <c r="C38" s="512" t="s">
        <v>274</v>
      </c>
      <c r="D38" s="117">
        <v>2017</v>
      </c>
      <c r="E38" s="118">
        <f t="shared" ref="E38:J38" si="2">D38+1</f>
        <v>2018</v>
      </c>
      <c r="F38" s="118">
        <f t="shared" si="2"/>
        <v>2019</v>
      </c>
      <c r="G38" s="118">
        <f t="shared" si="2"/>
        <v>2020</v>
      </c>
      <c r="H38" s="118">
        <f t="shared" si="2"/>
        <v>2021</v>
      </c>
      <c r="I38" s="118">
        <f t="shared" si="2"/>
        <v>2022</v>
      </c>
      <c r="J38" s="195">
        <f t="shared" si="2"/>
        <v>2023</v>
      </c>
      <c r="K38" s="968" t="s">
        <v>370</v>
      </c>
      <c r="L38" s="968"/>
      <c r="M38" s="968"/>
    </row>
    <row r="39" spans="2:14">
      <c r="B39" t="s">
        <v>371</v>
      </c>
      <c r="C39" s="200"/>
      <c r="D39" s="764"/>
      <c r="E39" s="764"/>
      <c r="F39" s="764"/>
      <c r="G39" s="764"/>
      <c r="H39" s="765">
        <v>2.5000000000000001E-2</v>
      </c>
      <c r="I39" s="765">
        <v>3.1E-2</v>
      </c>
      <c r="J39" s="766">
        <v>0.03</v>
      </c>
      <c r="K39" s="969" t="s">
        <v>573</v>
      </c>
      <c r="L39" s="969"/>
      <c r="M39" s="969"/>
      <c r="N39" s="1003"/>
    </row>
    <row r="41" spans="2:14">
      <c r="B41" s="14" t="s">
        <v>275</v>
      </c>
    </row>
    <row r="42" spans="2:14">
      <c r="C42" s="511" t="s">
        <v>276</v>
      </c>
      <c r="D42" s="117">
        <v>2017</v>
      </c>
      <c r="E42" s="118">
        <f t="shared" ref="E42:J42" si="3">D42+1</f>
        <v>2018</v>
      </c>
      <c r="F42" s="118">
        <f t="shared" si="3"/>
        <v>2019</v>
      </c>
      <c r="G42" s="118">
        <f t="shared" si="3"/>
        <v>2020</v>
      </c>
      <c r="H42" s="118">
        <f t="shared" si="3"/>
        <v>2021</v>
      </c>
      <c r="I42" s="118">
        <f t="shared" si="3"/>
        <v>2022</v>
      </c>
      <c r="J42" s="195">
        <f t="shared" si="3"/>
        <v>2023</v>
      </c>
    </row>
    <row r="43" spans="2:14">
      <c r="B43" t="s">
        <v>277</v>
      </c>
      <c r="D43" s="572"/>
      <c r="E43" s="573"/>
      <c r="F43" s="573"/>
      <c r="G43" s="573"/>
      <c r="H43" s="573"/>
      <c r="I43" s="767">
        <f>(H39*0.75)+(I39*0.25)</f>
        <v>2.6500000000000003E-2</v>
      </c>
      <c r="J43" s="768">
        <f>(I39*0.75)+(J39*0.25)</f>
        <v>3.075E-2</v>
      </c>
    </row>
    <row r="45" spans="2:14">
      <c r="B45" s="315" t="str">
        <f>"Selected Capitalisation rates for "&amp;'RFPR cover'!C5</f>
        <v>Selected Capitalisation rates for SPMW</v>
      </c>
      <c r="C45" s="271"/>
      <c r="D45" s="271"/>
      <c r="E45" s="271"/>
      <c r="F45" s="271"/>
      <c r="G45" s="271"/>
      <c r="H45" s="271"/>
      <c r="I45" s="271"/>
      <c r="J45" s="271"/>
      <c r="K45" s="271"/>
      <c r="L45" s="271"/>
      <c r="M45" s="284"/>
    </row>
    <row r="46" spans="2:14">
      <c r="B46" s="201"/>
      <c r="C46" s="42"/>
      <c r="D46" s="42"/>
      <c r="E46" s="42"/>
      <c r="F46" s="42"/>
      <c r="G46" s="42"/>
      <c r="H46" s="42"/>
      <c r="I46" s="42"/>
      <c r="J46" s="42"/>
      <c r="K46" s="42"/>
      <c r="L46" s="42"/>
      <c r="M46" s="202"/>
    </row>
    <row r="47" spans="2:14">
      <c r="B47" s="201"/>
      <c r="C47" s="314" t="s">
        <v>250</v>
      </c>
      <c r="D47" s="42"/>
      <c r="E47" s="42"/>
      <c r="F47" s="42"/>
      <c r="G47" s="42"/>
      <c r="H47" s="42"/>
      <c r="I47" s="42"/>
      <c r="J47" s="42"/>
      <c r="K47" s="42"/>
      <c r="L47" s="42"/>
      <c r="M47" s="202"/>
    </row>
    <row r="48" spans="2:14">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171</v>
      </c>
      <c r="F54" s="331" t="s">
        <v>158</v>
      </c>
      <c r="G54" s="973" t="s">
        <v>251</v>
      </c>
      <c r="H54" s="974"/>
      <c r="I54" s="975"/>
      <c r="J54" s="982" t="s">
        <v>253</v>
      </c>
      <c r="K54" s="983"/>
    </row>
    <row r="55" spans="2:20">
      <c r="B55" s="305"/>
      <c r="C55" s="305"/>
      <c r="E55" s="303" t="s">
        <v>173</v>
      </c>
      <c r="F55" s="332" t="s">
        <v>183</v>
      </c>
      <c r="G55" s="976" t="s">
        <v>251</v>
      </c>
      <c r="H55" s="977"/>
      <c r="I55" s="978"/>
      <c r="J55" s="984" t="s">
        <v>253</v>
      </c>
      <c r="K55" s="985"/>
    </row>
    <row r="56" spans="2:20">
      <c r="B56" s="305"/>
      <c r="C56" s="305"/>
      <c r="E56" s="303" t="s">
        <v>172</v>
      </c>
      <c r="F56" s="332" t="s">
        <v>183</v>
      </c>
      <c r="G56" s="976" t="s">
        <v>242</v>
      </c>
      <c r="H56" s="977"/>
      <c r="I56" s="978"/>
      <c r="J56" s="984" t="s">
        <v>243</v>
      </c>
      <c r="K56" s="985"/>
    </row>
    <row r="57" spans="2:20">
      <c r="B57" s="305"/>
      <c r="C57" s="305"/>
      <c r="E57" s="304" t="s">
        <v>174</v>
      </c>
      <c r="F57" s="333" t="s">
        <v>183</v>
      </c>
      <c r="G57" s="979" t="s">
        <v>252</v>
      </c>
      <c r="H57" s="980"/>
      <c r="I57" s="981"/>
      <c r="J57" s="986" t="s">
        <v>254</v>
      </c>
      <c r="K57" s="987"/>
    </row>
    <row r="58" spans="2:20">
      <c r="B58" s="305"/>
      <c r="C58" s="305"/>
      <c r="E58" s="305"/>
      <c r="F58" s="446"/>
      <c r="G58" s="447"/>
      <c r="H58" s="447"/>
      <c r="I58" s="447"/>
      <c r="J58" s="448"/>
      <c r="K58" s="448"/>
    </row>
    <row r="59" spans="2:20">
      <c r="B59" s="449"/>
      <c r="C59" s="449"/>
      <c r="D59" s="217"/>
      <c r="E59" s="449"/>
      <c r="F59" s="450"/>
      <c r="G59" s="451"/>
      <c r="H59" s="451"/>
      <c r="I59" s="451"/>
      <c r="J59" s="452"/>
      <c r="K59" s="452"/>
      <c r="L59" s="217"/>
      <c r="M59" s="217"/>
      <c r="N59" s="217"/>
      <c r="O59" s="217"/>
      <c r="P59" s="217"/>
      <c r="Q59" s="217"/>
      <c r="R59" s="217"/>
      <c r="S59" s="217"/>
      <c r="T59" s="217"/>
    </row>
    <row r="60" spans="2:20" s="31" customFormat="1">
      <c r="B60" s="400"/>
      <c r="C60" s="400"/>
      <c r="E60" s="400"/>
      <c r="F60" s="453"/>
      <c r="G60" s="454"/>
      <c r="H60" s="454"/>
      <c r="I60" s="454"/>
      <c r="J60" s="455"/>
      <c r="K60" s="455"/>
    </row>
    <row r="61" spans="2:20">
      <c r="B61" s="445" t="s">
        <v>349</v>
      </c>
      <c r="C61" s="43"/>
      <c r="I61" s="67"/>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2" t="s">
        <v>347</v>
      </c>
      <c r="C63" s="568"/>
      <c r="D63" s="569"/>
      <c r="E63" s="440">
        <v>2.5499999999999998E-2</v>
      </c>
      <c r="F63" s="440">
        <v>2.3799999999999998E-2</v>
      </c>
      <c r="G63" s="440">
        <v>2.2200000000000001E-2</v>
      </c>
      <c r="H63" s="440">
        <v>1.9099999999999999E-2</v>
      </c>
      <c r="I63" s="440">
        <v>1.5800000000000002E-2</v>
      </c>
      <c r="J63" s="440">
        <v>1.09E-2</v>
      </c>
      <c r="K63" s="440">
        <v>7.6E-3</v>
      </c>
      <c r="L63" s="441">
        <v>4.4000000000000003E-3</v>
      </c>
    </row>
    <row r="64" spans="2:20">
      <c r="B64" s="443" t="s">
        <v>334</v>
      </c>
      <c r="C64" s="556"/>
      <c r="D64" s="557"/>
      <c r="E64" s="402">
        <v>2.5499999999999998E-2</v>
      </c>
      <c r="F64" s="402">
        <v>2.4199999999999999E-2</v>
      </c>
      <c r="G64" s="402">
        <v>2.29E-2</v>
      </c>
      <c r="H64" s="402">
        <v>2.0899999999999998E-2</v>
      </c>
      <c r="I64" s="402">
        <v>1.9400000000000001E-2</v>
      </c>
      <c r="J64" s="402">
        <v>1.78E-2</v>
      </c>
      <c r="K64" s="402">
        <v>1.6199999999999999E-2</v>
      </c>
      <c r="L64" s="405">
        <v>1.47E-2</v>
      </c>
    </row>
    <row r="65" spans="1:20">
      <c r="B65" s="443" t="s">
        <v>61</v>
      </c>
      <c r="C65" s="401">
        <v>2.92E-2</v>
      </c>
      <c r="D65" s="402">
        <v>2.5000000000000001E-2</v>
      </c>
      <c r="E65" s="402">
        <v>2.1499999999999998E-2</v>
      </c>
      <c r="F65" s="402">
        <v>1.7899999999999999E-2</v>
      </c>
      <c r="G65" s="402">
        <v>1.5100000000000001E-2</v>
      </c>
      <c r="H65" s="402">
        <v>1.1599999999999999E-2</v>
      </c>
      <c r="I65" s="402">
        <v>1.0200000000000001E-2</v>
      </c>
      <c r="J65" s="402">
        <v>7.6E-3</v>
      </c>
      <c r="K65" s="570"/>
      <c r="L65" s="571"/>
    </row>
    <row r="66" spans="1:20">
      <c r="B66" s="443" t="s">
        <v>348</v>
      </c>
      <c r="C66" s="438">
        <v>2.92E-2</v>
      </c>
      <c r="D66" s="439">
        <v>2.7199999999999998E-2</v>
      </c>
      <c r="E66" s="439">
        <v>2.5499999999999998E-2</v>
      </c>
      <c r="F66" s="439">
        <v>2.3800000000000002E-2</v>
      </c>
      <c r="G66" s="439">
        <v>2.2200000000000001E-2</v>
      </c>
      <c r="H66" s="439">
        <v>1.9099999999999999E-2</v>
      </c>
      <c r="I66" s="439">
        <v>1.5800000000000002E-2</v>
      </c>
      <c r="J66" s="439">
        <v>1.09E-2</v>
      </c>
      <c r="K66" s="557"/>
      <c r="L66" s="558"/>
    </row>
    <row r="67" spans="1:20">
      <c r="B67" s="443" t="s">
        <v>172</v>
      </c>
      <c r="C67" s="401">
        <v>2.92E-2</v>
      </c>
      <c r="D67" s="402">
        <v>2.7199999999999998E-2</v>
      </c>
      <c r="E67" s="402">
        <v>2.5499999999999998E-2</v>
      </c>
      <c r="F67" s="402">
        <v>2.3800000000000002E-2</v>
      </c>
      <c r="G67" s="402">
        <v>2.2200000000000001E-2</v>
      </c>
      <c r="H67" s="439">
        <v>1.9099999999999999E-2</v>
      </c>
      <c r="I67" s="439">
        <v>1.5800000000000002E-2</v>
      </c>
      <c r="J67" s="439">
        <v>1.09E-2</v>
      </c>
      <c r="K67" s="557"/>
      <c r="L67" s="558"/>
    </row>
    <row r="68" spans="1:20">
      <c r="B68" s="444" t="s">
        <v>174</v>
      </c>
      <c r="C68" s="403">
        <v>2.92E-2</v>
      </c>
      <c r="D68" s="404">
        <v>2.7199999999999998E-2</v>
      </c>
      <c r="E68" s="404">
        <v>2.5499999999999998E-2</v>
      </c>
      <c r="F68" s="404">
        <v>2.3800000000000002E-2</v>
      </c>
      <c r="G68" s="404">
        <v>2.2200000000000001E-2</v>
      </c>
      <c r="H68" s="404">
        <v>1.9099999999999999E-2</v>
      </c>
      <c r="I68" s="404">
        <v>1.5800000000000002E-2</v>
      </c>
      <c r="J68" s="404">
        <v>1.09E-2</v>
      </c>
      <c r="K68" s="559"/>
      <c r="L68" s="560"/>
    </row>
    <row r="69" spans="1:20">
      <c r="I69" s="67"/>
    </row>
    <row r="70" spans="1:20">
      <c r="H70" s="67"/>
      <c r="K70" s="42"/>
      <c r="L70" s="42"/>
      <c r="M70" s="42"/>
      <c r="N70" s="42"/>
      <c r="O70" s="42"/>
      <c r="P70" s="42"/>
      <c r="Q70" s="42"/>
      <c r="R70" s="42"/>
      <c r="S70" s="42"/>
      <c r="T70" s="42"/>
    </row>
    <row r="71" spans="1:20" ht="38.25">
      <c r="B71" s="22"/>
      <c r="C71" s="74" t="s">
        <v>249</v>
      </c>
      <c r="D71" s="75" t="s">
        <v>211</v>
      </c>
      <c r="E71" s="75" t="s">
        <v>72</v>
      </c>
      <c r="F71" s="75" t="s">
        <v>272</v>
      </c>
      <c r="G71" s="75" t="s">
        <v>116</v>
      </c>
      <c r="H71" s="76" t="s">
        <v>185</v>
      </c>
      <c r="I71" s="330" t="s">
        <v>267</v>
      </c>
      <c r="J71" s="330" t="s">
        <v>467</v>
      </c>
      <c r="K71" s="970" t="s">
        <v>343</v>
      </c>
      <c r="L71" s="971"/>
      <c r="M71" s="971"/>
      <c r="N71" s="971"/>
      <c r="O71" s="971"/>
      <c r="P71" s="971"/>
      <c r="Q71" s="971"/>
      <c r="R71" s="971"/>
      <c r="S71" s="971"/>
      <c r="T71" s="972"/>
    </row>
    <row r="72" spans="1:20">
      <c r="A72" s="334" t="s">
        <v>188</v>
      </c>
      <c r="B72" s="68" t="s">
        <v>69</v>
      </c>
      <c r="C72" s="306"/>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171</v>
      </c>
      <c r="B73" s="72" t="s">
        <v>43</v>
      </c>
      <c r="C73" s="307">
        <v>0.06</v>
      </c>
      <c r="D73" s="308">
        <v>0.58109999999999995</v>
      </c>
      <c r="E73" s="309">
        <v>0.65</v>
      </c>
      <c r="F73" s="309">
        <v>0.68</v>
      </c>
      <c r="G73" s="340">
        <v>2016</v>
      </c>
      <c r="H73" s="341" t="str">
        <f t="shared" ref="H73:H97" si="7">VLOOKUP($A73,$E$54:$F$57,2,FALSE)</f>
        <v>£m 12/13</v>
      </c>
      <c r="I73" s="341" t="s">
        <v>268</v>
      </c>
      <c r="J73" s="425" t="s">
        <v>468</v>
      </c>
      <c r="K73" s="556"/>
      <c r="L73" s="557"/>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1.6199999999999999E-2</v>
      </c>
      <c r="T73" s="437">
        <f t="shared" ref="T73:T82" si="15">L$64</f>
        <v>1.47E-2</v>
      </c>
    </row>
    <row r="74" spans="1:20">
      <c r="A74" s="60" t="s">
        <v>171</v>
      </c>
      <c r="B74" s="72" t="s">
        <v>44</v>
      </c>
      <c r="C74" s="307">
        <v>0.06</v>
      </c>
      <c r="D74" s="308">
        <v>0.55843703457782867</v>
      </c>
      <c r="E74" s="309">
        <v>0.65</v>
      </c>
      <c r="F74" s="309">
        <v>0.7</v>
      </c>
      <c r="G74" s="340">
        <v>2016</v>
      </c>
      <c r="H74" s="341" t="str">
        <f t="shared" si="7"/>
        <v>£m 12/13</v>
      </c>
      <c r="I74" s="341" t="s">
        <v>268</v>
      </c>
      <c r="J74" s="425" t="s">
        <v>468</v>
      </c>
      <c r="K74" s="556"/>
      <c r="L74" s="557"/>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1.6199999999999999E-2</v>
      </c>
      <c r="T74" s="437">
        <f t="shared" si="15"/>
        <v>1.47E-2</v>
      </c>
    </row>
    <row r="75" spans="1:20">
      <c r="A75" s="60" t="s">
        <v>171</v>
      </c>
      <c r="B75" s="72" t="s">
        <v>73</v>
      </c>
      <c r="C75" s="307">
        <v>0.06</v>
      </c>
      <c r="D75" s="308">
        <v>0.55843703457782867</v>
      </c>
      <c r="E75" s="309">
        <v>0.65</v>
      </c>
      <c r="F75" s="309">
        <v>0.72</v>
      </c>
      <c r="G75" s="340">
        <v>2016</v>
      </c>
      <c r="H75" s="341" t="str">
        <f t="shared" si="7"/>
        <v>£m 12/13</v>
      </c>
      <c r="I75" s="341" t="s">
        <v>268</v>
      </c>
      <c r="J75" s="425" t="s">
        <v>468</v>
      </c>
      <c r="K75" s="556"/>
      <c r="L75" s="557"/>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1.6199999999999999E-2</v>
      </c>
      <c r="T75" s="437">
        <f t="shared" si="15"/>
        <v>1.47E-2</v>
      </c>
    </row>
    <row r="76" spans="1:20">
      <c r="A76" s="60" t="s">
        <v>171</v>
      </c>
      <c r="B76" s="72" t="s">
        <v>59</v>
      </c>
      <c r="C76" s="307">
        <v>0.06</v>
      </c>
      <c r="D76" s="308">
        <v>0.53280000000000005</v>
      </c>
      <c r="E76" s="309">
        <v>0.65</v>
      </c>
      <c r="F76" s="309">
        <v>0.68</v>
      </c>
      <c r="G76" s="340">
        <v>2016</v>
      </c>
      <c r="H76" s="341" t="str">
        <f t="shared" si="7"/>
        <v>£m 12/13</v>
      </c>
      <c r="I76" s="341" t="s">
        <v>268</v>
      </c>
      <c r="J76" s="425" t="s">
        <v>468</v>
      </c>
      <c r="K76" s="556"/>
      <c r="L76" s="557"/>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1.6199999999999999E-2</v>
      </c>
      <c r="T76" s="437">
        <f t="shared" si="15"/>
        <v>1.47E-2</v>
      </c>
    </row>
    <row r="77" spans="1:20">
      <c r="A77" s="60" t="s">
        <v>171</v>
      </c>
      <c r="B77" s="72" t="s">
        <v>57</v>
      </c>
      <c r="C77" s="307">
        <v>0.06</v>
      </c>
      <c r="D77" s="308">
        <v>0.53280000000000005</v>
      </c>
      <c r="E77" s="309">
        <v>0.65</v>
      </c>
      <c r="F77" s="309">
        <v>0.68</v>
      </c>
      <c r="G77" s="340">
        <v>2016</v>
      </c>
      <c r="H77" s="341" t="str">
        <f t="shared" si="7"/>
        <v>£m 12/13</v>
      </c>
      <c r="I77" s="341" t="s">
        <v>268</v>
      </c>
      <c r="J77" s="425" t="s">
        <v>468</v>
      </c>
      <c r="K77" s="556"/>
      <c r="L77" s="557"/>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1.6199999999999999E-2</v>
      </c>
      <c r="T77" s="437">
        <f t="shared" si="15"/>
        <v>1.47E-2</v>
      </c>
    </row>
    <row r="78" spans="1:20">
      <c r="A78" s="60" t="s">
        <v>171</v>
      </c>
      <c r="B78" s="72" t="s">
        <v>58</v>
      </c>
      <c r="C78" s="307">
        <v>0.06</v>
      </c>
      <c r="D78" s="308">
        <v>0.53280000000000005</v>
      </c>
      <c r="E78" s="309">
        <v>0.65</v>
      </c>
      <c r="F78" s="309">
        <v>0.68</v>
      </c>
      <c r="G78" s="340">
        <v>2016</v>
      </c>
      <c r="H78" s="341" t="str">
        <f t="shared" si="7"/>
        <v>£m 12/13</v>
      </c>
      <c r="I78" s="341" t="s">
        <v>268</v>
      </c>
      <c r="J78" s="425" t="s">
        <v>468</v>
      </c>
      <c r="K78" s="556"/>
      <c r="L78" s="557"/>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1.6199999999999999E-2</v>
      </c>
      <c r="T78" s="437">
        <f t="shared" si="15"/>
        <v>1.47E-2</v>
      </c>
    </row>
    <row r="79" spans="1:20">
      <c r="A79" s="60" t="s">
        <v>171</v>
      </c>
      <c r="B79" s="72" t="s">
        <v>45</v>
      </c>
      <c r="C79" s="307">
        <v>0.06</v>
      </c>
      <c r="D79" s="308">
        <v>0.53500000000000003</v>
      </c>
      <c r="E79" s="309">
        <v>0.65</v>
      </c>
      <c r="F79" s="309">
        <v>0.8</v>
      </c>
      <c r="G79" s="340">
        <v>2016</v>
      </c>
      <c r="H79" s="341" t="str">
        <f t="shared" si="7"/>
        <v>£m 12/13</v>
      </c>
      <c r="I79" s="341" t="s">
        <v>268</v>
      </c>
      <c r="J79" s="425" t="s">
        <v>468</v>
      </c>
      <c r="K79" s="556"/>
      <c r="L79" s="557"/>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1.6199999999999999E-2</v>
      </c>
      <c r="T79" s="437">
        <f t="shared" si="15"/>
        <v>1.47E-2</v>
      </c>
    </row>
    <row r="80" spans="1:20">
      <c r="A80" s="60" t="s">
        <v>171</v>
      </c>
      <c r="B80" s="72" t="s">
        <v>46</v>
      </c>
      <c r="C80" s="307">
        <v>0.06</v>
      </c>
      <c r="D80" s="308">
        <v>0.53500000000000003</v>
      </c>
      <c r="E80" s="309">
        <v>0.65</v>
      </c>
      <c r="F80" s="309">
        <v>0.8</v>
      </c>
      <c r="G80" s="340">
        <v>2016</v>
      </c>
      <c r="H80" s="341" t="str">
        <f t="shared" si="7"/>
        <v>£m 12/13</v>
      </c>
      <c r="I80" s="341" t="s">
        <v>268</v>
      </c>
      <c r="J80" s="425" t="s">
        <v>468</v>
      </c>
      <c r="K80" s="556"/>
      <c r="L80" s="557"/>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1.6199999999999999E-2</v>
      </c>
      <c r="T80" s="437">
        <f t="shared" si="15"/>
        <v>1.47E-2</v>
      </c>
    </row>
    <row r="81" spans="1:20">
      <c r="A81" s="60" t="s">
        <v>171</v>
      </c>
      <c r="B81" s="72" t="s">
        <v>47</v>
      </c>
      <c r="C81" s="307">
        <v>0.06</v>
      </c>
      <c r="D81" s="308">
        <v>0.56469999999999998</v>
      </c>
      <c r="E81" s="309">
        <v>0.65</v>
      </c>
      <c r="F81" s="309">
        <v>0.62</v>
      </c>
      <c r="G81" s="340">
        <v>2016</v>
      </c>
      <c r="H81" s="341" t="str">
        <f t="shared" si="7"/>
        <v>£m 12/13</v>
      </c>
      <c r="I81" s="341" t="s">
        <v>268</v>
      </c>
      <c r="J81" s="425" t="s">
        <v>468</v>
      </c>
      <c r="K81" s="556"/>
      <c r="L81" s="557"/>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1.6199999999999999E-2</v>
      </c>
      <c r="T81" s="437">
        <f t="shared" si="15"/>
        <v>1.47E-2</v>
      </c>
    </row>
    <row r="82" spans="1:20">
      <c r="A82" s="60" t="s">
        <v>171</v>
      </c>
      <c r="B82" s="72" t="s">
        <v>48</v>
      </c>
      <c r="C82" s="307">
        <v>0.06</v>
      </c>
      <c r="D82" s="308">
        <v>0.56469999999999998</v>
      </c>
      <c r="E82" s="309">
        <v>0.65</v>
      </c>
      <c r="F82" s="309">
        <v>0.7</v>
      </c>
      <c r="G82" s="340">
        <v>2016</v>
      </c>
      <c r="H82" s="341" t="str">
        <f t="shared" si="7"/>
        <v>£m 12/13</v>
      </c>
      <c r="I82" s="341" t="s">
        <v>268</v>
      </c>
      <c r="J82" s="425" t="s">
        <v>468</v>
      </c>
      <c r="K82" s="556"/>
      <c r="L82" s="557"/>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1.6199999999999999E-2</v>
      </c>
      <c r="T82" s="437">
        <f t="shared" si="15"/>
        <v>1.47E-2</v>
      </c>
    </row>
    <row r="83" spans="1:20">
      <c r="A83" s="60" t="s">
        <v>171</v>
      </c>
      <c r="B83" s="72" t="s">
        <v>244</v>
      </c>
      <c r="C83" s="307">
        <v>6.4000000000000001E-2</v>
      </c>
      <c r="D83" s="308">
        <v>0.7</v>
      </c>
      <c r="E83" s="309">
        <v>0.65</v>
      </c>
      <c r="F83" s="309">
        <v>0.8</v>
      </c>
      <c r="G83" s="340">
        <v>2016</v>
      </c>
      <c r="H83" s="341" t="str">
        <f t="shared" si="7"/>
        <v>£m 12/13</v>
      </c>
      <c r="I83" s="341" t="s">
        <v>269</v>
      </c>
      <c r="J83" s="425" t="s">
        <v>469</v>
      </c>
      <c r="K83" s="556"/>
      <c r="L83" s="557"/>
      <c r="M83" s="433">
        <f t="shared" ref="M83:T86" si="16">E$63</f>
        <v>2.5499999999999998E-2</v>
      </c>
      <c r="N83" s="433">
        <f t="shared" si="16"/>
        <v>2.3799999999999998E-2</v>
      </c>
      <c r="O83" s="433">
        <f t="shared" si="16"/>
        <v>2.2200000000000001E-2</v>
      </c>
      <c r="P83" s="433">
        <f t="shared" si="16"/>
        <v>1.9099999999999999E-2</v>
      </c>
      <c r="Q83" s="433">
        <f t="shared" si="16"/>
        <v>1.5800000000000002E-2</v>
      </c>
      <c r="R83" s="433">
        <f t="shared" si="16"/>
        <v>1.09E-2</v>
      </c>
      <c r="S83" s="433">
        <f t="shared" si="16"/>
        <v>7.6E-3</v>
      </c>
      <c r="T83" s="437">
        <f t="shared" si="16"/>
        <v>4.4000000000000003E-3</v>
      </c>
    </row>
    <row r="84" spans="1:20">
      <c r="A84" s="60" t="s">
        <v>171</v>
      </c>
      <c r="B84" s="72" t="s">
        <v>245</v>
      </c>
      <c r="C84" s="307">
        <v>6.4000000000000001E-2</v>
      </c>
      <c r="D84" s="308">
        <v>0.7</v>
      </c>
      <c r="E84" s="309">
        <v>0.65</v>
      </c>
      <c r="F84" s="309">
        <v>0.8</v>
      </c>
      <c r="G84" s="340">
        <v>2016</v>
      </c>
      <c r="H84" s="341" t="str">
        <f t="shared" si="7"/>
        <v>£m 12/13</v>
      </c>
      <c r="I84" s="341" t="s">
        <v>269</v>
      </c>
      <c r="J84" s="425" t="s">
        <v>469</v>
      </c>
      <c r="K84" s="556"/>
      <c r="L84" s="557"/>
      <c r="M84" s="433">
        <f t="shared" si="16"/>
        <v>2.5499999999999998E-2</v>
      </c>
      <c r="N84" s="433">
        <f t="shared" si="16"/>
        <v>2.3799999999999998E-2</v>
      </c>
      <c r="O84" s="433">
        <f t="shared" si="16"/>
        <v>2.2200000000000001E-2</v>
      </c>
      <c r="P84" s="433">
        <f t="shared" si="16"/>
        <v>1.9099999999999999E-2</v>
      </c>
      <c r="Q84" s="433">
        <f t="shared" si="16"/>
        <v>1.5800000000000002E-2</v>
      </c>
      <c r="R84" s="433">
        <f t="shared" si="16"/>
        <v>1.09E-2</v>
      </c>
      <c r="S84" s="433">
        <f t="shared" si="16"/>
        <v>7.6E-3</v>
      </c>
      <c r="T84" s="437">
        <f t="shared" si="16"/>
        <v>4.4000000000000003E-3</v>
      </c>
    </row>
    <row r="85" spans="1:20">
      <c r="A85" s="60" t="s">
        <v>171</v>
      </c>
      <c r="B85" s="72" t="s">
        <v>246</v>
      </c>
      <c r="C85" s="307">
        <v>6.4000000000000001E-2</v>
      </c>
      <c r="D85" s="308">
        <v>0.7</v>
      </c>
      <c r="E85" s="309">
        <v>0.65</v>
      </c>
      <c r="F85" s="309">
        <v>0.8</v>
      </c>
      <c r="G85" s="340">
        <v>2016</v>
      </c>
      <c r="H85" s="341" t="str">
        <f t="shared" si="7"/>
        <v>£m 12/13</v>
      </c>
      <c r="I85" s="341" t="s">
        <v>269</v>
      </c>
      <c r="J85" s="425" t="s">
        <v>469</v>
      </c>
      <c r="K85" s="556"/>
      <c r="L85" s="557"/>
      <c r="M85" s="433">
        <f t="shared" si="16"/>
        <v>2.5499999999999998E-2</v>
      </c>
      <c r="N85" s="433">
        <f t="shared" si="16"/>
        <v>2.3799999999999998E-2</v>
      </c>
      <c r="O85" s="433">
        <f t="shared" si="16"/>
        <v>2.2200000000000001E-2</v>
      </c>
      <c r="P85" s="433">
        <f t="shared" si="16"/>
        <v>1.9099999999999999E-2</v>
      </c>
      <c r="Q85" s="433">
        <f t="shared" si="16"/>
        <v>1.5800000000000002E-2</v>
      </c>
      <c r="R85" s="433">
        <f t="shared" si="16"/>
        <v>1.09E-2</v>
      </c>
      <c r="S85" s="433">
        <f t="shared" si="16"/>
        <v>7.6E-3</v>
      </c>
      <c r="T85" s="437">
        <f t="shared" si="16"/>
        <v>4.4000000000000003E-3</v>
      </c>
    </row>
    <row r="86" spans="1:20">
      <c r="A86" s="60" t="s">
        <v>171</v>
      </c>
      <c r="B86" s="72" t="s">
        <v>247</v>
      </c>
      <c r="C86" s="307">
        <v>6.4000000000000001E-2</v>
      </c>
      <c r="D86" s="308">
        <v>0.7</v>
      </c>
      <c r="E86" s="309">
        <v>0.65</v>
      </c>
      <c r="F86" s="309">
        <v>0.8</v>
      </c>
      <c r="G86" s="340">
        <v>2016</v>
      </c>
      <c r="H86" s="341" t="str">
        <f t="shared" si="7"/>
        <v>£m 12/13</v>
      </c>
      <c r="I86" s="341" t="s">
        <v>269</v>
      </c>
      <c r="J86" s="425" t="s">
        <v>469</v>
      </c>
      <c r="K86" s="556"/>
      <c r="L86" s="557"/>
      <c r="M86" s="433">
        <f t="shared" si="16"/>
        <v>2.5499999999999998E-2</v>
      </c>
      <c r="N86" s="433">
        <f t="shared" si="16"/>
        <v>2.3799999999999998E-2</v>
      </c>
      <c r="O86" s="433">
        <f t="shared" si="16"/>
        <v>2.2200000000000001E-2</v>
      </c>
      <c r="P86" s="433">
        <f t="shared" si="16"/>
        <v>1.9099999999999999E-2</v>
      </c>
      <c r="Q86" s="433">
        <f t="shared" si="16"/>
        <v>1.5800000000000002E-2</v>
      </c>
      <c r="R86" s="433">
        <f t="shared" si="16"/>
        <v>1.09E-2</v>
      </c>
      <c r="S86" s="433">
        <f t="shared" si="16"/>
        <v>7.6E-3</v>
      </c>
      <c r="T86" s="437">
        <f t="shared" si="16"/>
        <v>4.4000000000000003E-3</v>
      </c>
    </row>
    <row r="87" spans="1:20">
      <c r="A87" s="60" t="s">
        <v>172</v>
      </c>
      <c r="B87" s="72" t="s">
        <v>53</v>
      </c>
      <c r="C87" s="307">
        <v>6.7000000000000004E-2</v>
      </c>
      <c r="D87" s="308">
        <v>0.63039999999999996</v>
      </c>
      <c r="E87" s="309">
        <v>0.65</v>
      </c>
      <c r="F87" s="309">
        <v>0.26634501855794862</v>
      </c>
      <c r="G87" s="340">
        <v>2014</v>
      </c>
      <c r="H87" s="341" t="str">
        <f t="shared" si="7"/>
        <v>£m 09/10</v>
      </c>
      <c r="I87" s="341" t="s">
        <v>268</v>
      </c>
      <c r="J87" s="425" t="s">
        <v>469</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7"/>
      <c r="T87" s="558"/>
    </row>
    <row r="88" spans="1:20">
      <c r="A88" s="60" t="s">
        <v>172</v>
      </c>
      <c r="B88" s="72" t="s">
        <v>54</v>
      </c>
      <c r="C88" s="307">
        <v>6.7000000000000004E-2</v>
      </c>
      <c r="D88" s="308">
        <v>0.63039999999999996</v>
      </c>
      <c r="E88" s="309">
        <v>0.65</v>
      </c>
      <c r="F88" s="309">
        <v>0.23469337831705597</v>
      </c>
      <c r="G88" s="340">
        <v>2014</v>
      </c>
      <c r="H88" s="341" t="str">
        <f t="shared" si="7"/>
        <v>£m 09/10</v>
      </c>
      <c r="I88" s="341" t="s">
        <v>268</v>
      </c>
      <c r="J88" s="425" t="s">
        <v>469</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7"/>
      <c r="T88" s="558"/>
    </row>
    <row r="89" spans="1:20">
      <c r="A89" s="60" t="s">
        <v>172</v>
      </c>
      <c r="B89" s="72" t="s">
        <v>55</v>
      </c>
      <c r="C89" s="307">
        <v>6.7000000000000004E-2</v>
      </c>
      <c r="D89" s="308">
        <v>0.63039999999999996</v>
      </c>
      <c r="E89" s="309">
        <v>0.65</v>
      </c>
      <c r="F89" s="309">
        <v>0.24946223864843597</v>
      </c>
      <c r="G89" s="340">
        <v>2014</v>
      </c>
      <c r="H89" s="341" t="str">
        <f t="shared" si="7"/>
        <v>£m 09/10</v>
      </c>
      <c r="I89" s="341" t="s">
        <v>268</v>
      </c>
      <c r="J89" s="425" t="s">
        <v>469</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7"/>
      <c r="T89" s="558"/>
    </row>
    <row r="90" spans="1:20">
      <c r="A90" s="60" t="s">
        <v>172</v>
      </c>
      <c r="B90" s="72" t="s">
        <v>56</v>
      </c>
      <c r="C90" s="307">
        <v>6.7000000000000004E-2</v>
      </c>
      <c r="D90" s="308">
        <v>0.63039999999999996</v>
      </c>
      <c r="E90" s="309">
        <v>0.65</v>
      </c>
      <c r="F90" s="309">
        <v>0.26095352485819256</v>
      </c>
      <c r="G90" s="340">
        <v>2014</v>
      </c>
      <c r="H90" s="341" t="str">
        <f t="shared" si="7"/>
        <v>£m 09/10</v>
      </c>
      <c r="I90" s="341" t="s">
        <v>268</v>
      </c>
      <c r="J90" s="425" t="s">
        <v>469</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7"/>
      <c r="T90" s="558"/>
    </row>
    <row r="91" spans="1:20">
      <c r="A91" s="60" t="s">
        <v>172</v>
      </c>
      <c r="B91" s="72" t="s">
        <v>50</v>
      </c>
      <c r="C91" s="307">
        <v>6.7000000000000004E-2</v>
      </c>
      <c r="D91" s="308">
        <v>0.63980000000000004</v>
      </c>
      <c r="E91" s="309">
        <v>0.65</v>
      </c>
      <c r="F91" s="309">
        <v>0.34984411379298247</v>
      </c>
      <c r="G91" s="340">
        <v>2014</v>
      </c>
      <c r="H91" s="341" t="str">
        <f t="shared" si="7"/>
        <v>£m 09/10</v>
      </c>
      <c r="I91" s="341" t="s">
        <v>268</v>
      </c>
      <c r="J91" s="425" t="s">
        <v>469</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7"/>
      <c r="T91" s="558"/>
    </row>
    <row r="92" spans="1:20">
      <c r="A92" s="60" t="s">
        <v>172</v>
      </c>
      <c r="B92" s="72" t="s">
        <v>52</v>
      </c>
      <c r="C92" s="307">
        <v>6.7000000000000004E-2</v>
      </c>
      <c r="D92" s="308">
        <v>0.63729999999999998</v>
      </c>
      <c r="E92" s="309">
        <v>0.65</v>
      </c>
      <c r="F92" s="309">
        <v>0.35129049661183626</v>
      </c>
      <c r="G92" s="340">
        <v>2014</v>
      </c>
      <c r="H92" s="341" t="str">
        <f t="shared" si="7"/>
        <v>£m 09/10</v>
      </c>
      <c r="I92" s="341" t="s">
        <v>268</v>
      </c>
      <c r="J92" s="425" t="s">
        <v>469</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7"/>
      <c r="T92" s="558"/>
    </row>
    <row r="93" spans="1:20">
      <c r="A93" s="60" t="s">
        <v>172</v>
      </c>
      <c r="B93" s="72" t="s">
        <v>51</v>
      </c>
      <c r="C93" s="307">
        <v>6.7000000000000004E-2</v>
      </c>
      <c r="D93" s="308">
        <v>0.63729999999999998</v>
      </c>
      <c r="E93" s="309">
        <v>0.65</v>
      </c>
      <c r="F93" s="309">
        <v>0.32230855902021693</v>
      </c>
      <c r="G93" s="340">
        <v>2014</v>
      </c>
      <c r="H93" s="341" t="str">
        <f t="shared" si="7"/>
        <v>£m 09/10</v>
      </c>
      <c r="I93" s="341" t="s">
        <v>268</v>
      </c>
      <c r="J93" s="425" t="s">
        <v>469</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7"/>
      <c r="T93" s="558"/>
    </row>
    <row r="94" spans="1:20">
      <c r="A94" s="60" t="s">
        <v>172</v>
      </c>
      <c r="B94" s="72" t="s">
        <v>49</v>
      </c>
      <c r="C94" s="307">
        <v>6.7000000000000004E-2</v>
      </c>
      <c r="D94" s="308">
        <v>0.63170000000000004</v>
      </c>
      <c r="E94" s="309">
        <v>0.65</v>
      </c>
      <c r="F94" s="309">
        <v>0.35781904469402892</v>
      </c>
      <c r="G94" s="340">
        <v>2014</v>
      </c>
      <c r="H94" s="341" t="str">
        <f t="shared" si="7"/>
        <v>£m 09/10</v>
      </c>
      <c r="I94" s="341" t="s">
        <v>268</v>
      </c>
      <c r="J94" s="425" t="s">
        <v>469</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7"/>
      <c r="T94" s="558"/>
    </row>
    <row r="95" spans="1:20">
      <c r="A95" s="60" t="s">
        <v>174</v>
      </c>
      <c r="B95" s="72" t="s">
        <v>113</v>
      </c>
      <c r="C95" s="307">
        <v>6.8000000000000005E-2</v>
      </c>
      <c r="D95" s="308">
        <v>0.44359999999999999</v>
      </c>
      <c r="E95" s="309">
        <v>0.625</v>
      </c>
      <c r="F95" s="309">
        <v>0.64400000000000002</v>
      </c>
      <c r="G95" s="340">
        <v>2014</v>
      </c>
      <c r="H95" s="341" t="str">
        <f t="shared" si="7"/>
        <v>£m 09/10</v>
      </c>
      <c r="I95" s="341" t="s">
        <v>268</v>
      </c>
      <c r="J95" s="425" t="s">
        <v>469</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7"/>
      <c r="T95" s="558"/>
    </row>
    <row r="96" spans="1:20">
      <c r="A96" s="60" t="s">
        <v>174</v>
      </c>
      <c r="B96" s="72" t="s">
        <v>114</v>
      </c>
      <c r="C96" s="307">
        <v>6.8000000000000005E-2</v>
      </c>
      <c r="D96" s="308">
        <v>0.44359999999999999</v>
      </c>
      <c r="E96" s="309">
        <v>0.625</v>
      </c>
      <c r="F96" s="309">
        <v>0.374</v>
      </c>
      <c r="G96" s="340">
        <v>2014</v>
      </c>
      <c r="H96" s="341" t="str">
        <f t="shared" si="7"/>
        <v>£m 09/10</v>
      </c>
      <c r="I96" s="341" t="s">
        <v>268</v>
      </c>
      <c r="J96" s="425" t="s">
        <v>469</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7"/>
      <c r="T96" s="558"/>
    </row>
    <row r="97" spans="1:20">
      <c r="A97" s="60" t="s">
        <v>173</v>
      </c>
      <c r="B97" s="72" t="s">
        <v>111</v>
      </c>
      <c r="C97" s="307">
        <v>7.0000000000000007E-2</v>
      </c>
      <c r="D97" s="308">
        <v>0.46889999999999998</v>
      </c>
      <c r="E97" s="309">
        <v>0.6</v>
      </c>
      <c r="F97" s="309">
        <v>0.85</v>
      </c>
      <c r="G97" s="340">
        <v>2014</v>
      </c>
      <c r="H97" s="341" t="str">
        <f t="shared" si="7"/>
        <v>£m 09/10</v>
      </c>
      <c r="I97" s="341" t="s">
        <v>268</v>
      </c>
      <c r="J97" s="425" t="s">
        <v>469</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7"/>
      <c r="T97" s="558"/>
    </row>
    <row r="98" spans="1:20">
      <c r="A98" s="60" t="s">
        <v>173</v>
      </c>
      <c r="B98" s="72" t="s">
        <v>563</v>
      </c>
      <c r="C98" s="307">
        <v>7.0000000000000007E-2</v>
      </c>
      <c r="D98" s="308">
        <v>0.46889999999999998</v>
      </c>
      <c r="E98" s="309">
        <v>0.6</v>
      </c>
      <c r="F98" s="309">
        <v>0.27900000000000003</v>
      </c>
      <c r="G98" s="326">
        <v>2014</v>
      </c>
      <c r="H98" s="327" t="str">
        <f>VLOOKUP($A98,$E$54:$F$57,2,FALSE)</f>
        <v>£m 09/10</v>
      </c>
      <c r="I98" s="324" t="s">
        <v>268</v>
      </c>
      <c r="J98" s="425" t="s">
        <v>469</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7"/>
      <c r="T98" s="558"/>
    </row>
    <row r="99" spans="1:20">
      <c r="A99" s="60" t="s">
        <v>173</v>
      </c>
      <c r="B99" s="72" t="s">
        <v>60</v>
      </c>
      <c r="C99" s="307">
        <v>7.0000000000000007E-2</v>
      </c>
      <c r="D99" s="308">
        <v>0.5</v>
      </c>
      <c r="E99" s="309">
        <v>0.55000000000000004</v>
      </c>
      <c r="F99" s="309">
        <v>0.9</v>
      </c>
      <c r="G99" s="326">
        <v>2014</v>
      </c>
      <c r="H99" s="327" t="str">
        <f>VLOOKUP($A99,$E$54:$F$57,2,FALSE)</f>
        <v>£m 09/10</v>
      </c>
      <c r="I99" s="324" t="s">
        <v>269</v>
      </c>
      <c r="J99" s="425" t="s">
        <v>469</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7"/>
      <c r="T99" s="558"/>
    </row>
    <row r="100" spans="1:20">
      <c r="A100" s="60" t="s">
        <v>173</v>
      </c>
      <c r="B100" s="73" t="s">
        <v>61</v>
      </c>
      <c r="C100" s="310">
        <v>7.0000000000000007E-2</v>
      </c>
      <c r="D100" s="311">
        <v>0.5</v>
      </c>
      <c r="E100" s="312">
        <v>0.55000000000000004</v>
      </c>
      <c r="F100" s="312">
        <v>0.9</v>
      </c>
      <c r="G100" s="328">
        <v>2014</v>
      </c>
      <c r="H100" s="329" t="str">
        <f>VLOOKUP($A100,$E$54:$F$57,2,FALSE)</f>
        <v>£m 09/10</v>
      </c>
      <c r="I100" s="325" t="s">
        <v>269</v>
      </c>
      <c r="J100" s="425" t="s">
        <v>469</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7.6E-3</v>
      </c>
      <c r="S100" s="559"/>
      <c r="T100" s="560"/>
    </row>
    <row r="101" spans="1:20">
      <c r="I101" s="67"/>
    </row>
    <row r="102" spans="1:20">
      <c r="I102" s="67"/>
    </row>
    <row r="103" spans="1:20">
      <c r="I103" s="67"/>
    </row>
    <row r="104" spans="1:20" ht="13.5">
      <c r="B104" s="14" t="s">
        <v>248</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8" t="s">
        <v>49</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3" t="s">
        <v>113</v>
      </c>
      <c r="C114" s="219">
        <v>0.9</v>
      </c>
      <c r="D114" s="219">
        <v>0.9</v>
      </c>
      <c r="E114" s="219">
        <v>0.9</v>
      </c>
      <c r="F114" s="219">
        <v>0.9</v>
      </c>
      <c r="G114" s="219">
        <v>0.9</v>
      </c>
      <c r="H114" s="219">
        <v>0.9</v>
      </c>
      <c r="I114" s="219">
        <v>0.9</v>
      </c>
      <c r="J114" s="220">
        <v>0.9</v>
      </c>
    </row>
    <row r="115" spans="2:15">
      <c r="B115" s="304" t="s">
        <v>114</v>
      </c>
      <c r="C115" s="564"/>
      <c r="D115" s="564"/>
      <c r="E115" s="564"/>
      <c r="F115" s="564"/>
      <c r="G115" s="564"/>
      <c r="H115" s="564"/>
      <c r="I115" s="564"/>
      <c r="J115" s="564"/>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213</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60" t="s">
        <v>43</v>
      </c>
      <c r="C119" s="561"/>
      <c r="D119" s="562"/>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44</v>
      </c>
      <c r="C120" s="563"/>
      <c r="D120" s="564"/>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73</v>
      </c>
      <c r="C121" s="563"/>
      <c r="D121" s="564"/>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59</v>
      </c>
      <c r="C122" s="563"/>
      <c r="D122" s="564"/>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57</v>
      </c>
      <c r="C123" s="563"/>
      <c r="D123" s="564"/>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58</v>
      </c>
      <c r="C124" s="563"/>
      <c r="D124" s="564"/>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45</v>
      </c>
      <c r="C125" s="563"/>
      <c r="D125" s="564"/>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46</v>
      </c>
      <c r="C126" s="563"/>
      <c r="D126" s="564"/>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47</v>
      </c>
      <c r="C127" s="563"/>
      <c r="D127" s="564"/>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48</v>
      </c>
      <c r="C128" s="563"/>
      <c r="D128" s="564"/>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244</v>
      </c>
      <c r="C129" s="563"/>
      <c r="D129" s="564"/>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245</v>
      </c>
      <c r="C130" s="563"/>
      <c r="D130" s="564"/>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246</v>
      </c>
      <c r="C131" s="563"/>
      <c r="D131" s="564"/>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247</v>
      </c>
      <c r="C132" s="563"/>
      <c r="D132" s="564"/>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53</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64"/>
      <c r="L133" s="565"/>
      <c r="M133" s="31"/>
      <c r="N133" s="31"/>
      <c r="O133" s="31"/>
    </row>
    <row r="134" spans="2:15">
      <c r="B134" s="460" t="s">
        <v>54</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64"/>
      <c r="L134" s="565"/>
      <c r="M134" s="31"/>
      <c r="N134" s="31"/>
      <c r="O134" s="31"/>
    </row>
    <row r="135" spans="2:15">
      <c r="B135" s="460" t="s">
        <v>55</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64"/>
      <c r="L135" s="565"/>
      <c r="M135" s="31"/>
      <c r="N135" s="31"/>
      <c r="O135" s="31"/>
    </row>
    <row r="136" spans="2:15">
      <c r="B136" s="460" t="s">
        <v>56</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64"/>
      <c r="L136" s="565"/>
      <c r="M136" s="31"/>
      <c r="N136" s="31"/>
      <c r="O136" s="31"/>
    </row>
    <row r="137" spans="2:15">
      <c r="B137" s="460" t="s">
        <v>50</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64"/>
      <c r="L137" s="565"/>
      <c r="M137" s="31"/>
      <c r="N137" s="31"/>
      <c r="O137" s="31"/>
    </row>
    <row r="138" spans="2:15">
      <c r="B138" s="460" t="s">
        <v>52</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64"/>
      <c r="L138" s="565"/>
      <c r="M138" s="31"/>
      <c r="N138" s="31"/>
      <c r="O138" s="31"/>
    </row>
    <row r="139" spans="2:15">
      <c r="B139" s="460" t="s">
        <v>51</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64"/>
      <c r="L139" s="565"/>
      <c r="M139" s="31"/>
      <c r="N139" s="31"/>
      <c r="O139" s="31"/>
    </row>
    <row r="140" spans="2:15">
      <c r="B140" s="460" t="s">
        <v>49</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64"/>
      <c r="L140" s="565"/>
      <c r="M140" s="31"/>
      <c r="N140" s="31"/>
      <c r="O140" s="31"/>
    </row>
    <row r="141" spans="2:15">
      <c r="B141" s="460" t="s">
        <v>113</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64"/>
      <c r="L141" s="565"/>
      <c r="M141" s="31"/>
      <c r="N141" s="31"/>
      <c r="O141" s="31"/>
    </row>
    <row r="142" spans="2:15">
      <c r="B142" s="460" t="s">
        <v>114</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64"/>
      <c r="L142" s="565"/>
      <c r="M142" s="31"/>
      <c r="N142" s="31"/>
      <c r="O142" s="31"/>
    </row>
    <row r="143" spans="2:15">
      <c r="B143" s="460" t="s">
        <v>111</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64"/>
      <c r="L143" s="565"/>
      <c r="M143" s="31"/>
      <c r="N143" s="31"/>
      <c r="O143" s="31"/>
    </row>
    <row r="144" spans="2:15">
      <c r="B144" s="460" t="s">
        <v>112</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64"/>
      <c r="L144" s="565"/>
      <c r="M144" s="31"/>
      <c r="N144" s="31"/>
      <c r="O144" s="31"/>
    </row>
    <row r="145" spans="1:15">
      <c r="B145" s="460" t="s">
        <v>60</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64"/>
      <c r="L145" s="565"/>
      <c r="M145" s="31"/>
      <c r="N145" s="31"/>
      <c r="O145" s="31"/>
    </row>
    <row r="146" spans="1:15">
      <c r="B146" s="461" t="s">
        <v>61</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6"/>
      <c r="L146" s="567"/>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5"/>
      <c r="B150" s="457" t="s">
        <v>390</v>
      </c>
      <c r="C150" s="458"/>
      <c r="D150" s="458"/>
      <c r="E150" s="458"/>
      <c r="F150" s="456"/>
      <c r="G150" s="456"/>
      <c r="H150" s="456"/>
      <c r="I150" s="456"/>
      <c r="J150" s="456"/>
      <c r="K150" s="456"/>
      <c r="L150" s="456"/>
      <c r="M150" s="456"/>
      <c r="N150" s="456"/>
    </row>
    <row r="151" spans="1:15" s="31" customFormat="1" ht="14.25" customHeight="1">
      <c r="A151" s="798"/>
      <c r="B151" s="799"/>
      <c r="C151" s="800"/>
      <c r="D151" s="800"/>
      <c r="E151" s="800"/>
      <c r="F151" s="801"/>
      <c r="G151" s="801"/>
      <c r="H151" s="801"/>
      <c r="I151" s="801"/>
      <c r="J151" s="801"/>
      <c r="K151" s="801"/>
      <c r="L151" s="801"/>
      <c r="M151" s="801"/>
      <c r="N151" s="801"/>
    </row>
    <row r="152" spans="1:15">
      <c r="A152" s="203"/>
      <c r="B152" s="802" t="s">
        <v>396</v>
      </c>
      <c r="C152" s="206"/>
      <c r="D152" s="206"/>
      <c r="E152" s="803" t="b">
        <f>OR((LEFT('RFPR cover'!$C$6,2)=Data!F152),'RFPR cover'!$C$5=Data!F152)</f>
        <v>1</v>
      </c>
      <c r="F152" s="365" t="str">
        <f>B162</f>
        <v>ED</v>
      </c>
      <c r="G152" s="804"/>
    </row>
    <row r="153" spans="1:15">
      <c r="A153" s="203"/>
      <c r="B153" s="819" t="str">
        <f>CHOOSE(MATCH(TRUE,$E$152:$E$159,0),B163,B173,B183,E183,B193,E193,B203,E203)&amp;""</f>
        <v>Broad measure of customer service</v>
      </c>
      <c r="C153" s="206"/>
      <c r="D153" s="206"/>
      <c r="E153" s="805" t="b">
        <f>OR((LEFT('RFPR cover'!$C$6,2)=Data!F153),'RFPR cover'!$C$5=Data!F153)</f>
        <v>0</v>
      </c>
      <c r="F153" s="366" t="str">
        <f>B172</f>
        <v>GD</v>
      </c>
      <c r="G153" s="202"/>
    </row>
    <row r="154" spans="1:15" ht="25.5">
      <c r="A154" s="203"/>
      <c r="B154" s="820" t="str">
        <f t="shared" ref="B154:B160" si="23">CHOOSE(MATCH(TRUE,$E$152:$E$159,0),B164,B174,B184,E184,B194,E194,B204,E204)&amp;""</f>
        <v>Interruptions-related quality of service</v>
      </c>
      <c r="C154" s="206"/>
      <c r="D154" s="206"/>
      <c r="E154" s="805" t="b">
        <f>OR((LEFT('RFPR cover'!$C$6,2)=Data!F154),'RFPR cover'!$C$5=Data!F154)</f>
        <v>0</v>
      </c>
      <c r="F154" s="818" t="str">
        <f>B182</f>
        <v>NGGT (TO)</v>
      </c>
      <c r="G154" s="202"/>
    </row>
    <row r="155" spans="1:15">
      <c r="A155" s="203"/>
      <c r="B155" s="820" t="str">
        <f t="shared" si="23"/>
        <v>Incentive on connections engagement</v>
      </c>
      <c r="C155" s="206"/>
      <c r="D155" s="206"/>
      <c r="E155" s="805" t="b">
        <f>OR((LEFT('RFPR cover'!$C$6,2)=Data!F155),'RFPR cover'!$C$5=Data!F155)</f>
        <v>0</v>
      </c>
      <c r="F155" s="806" t="str">
        <f>E182</f>
        <v>NGGT (SO)</v>
      </c>
      <c r="G155" s="202"/>
    </row>
    <row r="156" spans="1:15">
      <c r="A156" s="203"/>
      <c r="B156" s="820" t="str">
        <f t="shared" si="23"/>
        <v>Time to Connect Incentive</v>
      </c>
      <c r="C156" s="206"/>
      <c r="D156" s="206"/>
      <c r="E156" s="805" t="b">
        <f>OR((LEFT('RFPR cover'!$C$6,2)=Data!F156),'RFPR cover'!$C$5=Data!F156)</f>
        <v>0</v>
      </c>
      <c r="F156" s="806" t="str">
        <f>B192</f>
        <v>NGET (TO)</v>
      </c>
      <c r="G156" s="202"/>
    </row>
    <row r="157" spans="1:15">
      <c r="A157" s="203"/>
      <c r="B157" s="821" t="str">
        <f t="shared" si="23"/>
        <v>Losses discretionary reward scheme</v>
      </c>
      <c r="C157" s="206"/>
      <c r="D157" s="206"/>
      <c r="E157" s="805" t="b">
        <f>OR((LEFT('RFPR cover'!$C$6,2)=Data!F157),'RFPR cover'!$C$5=Data!F157)</f>
        <v>0</v>
      </c>
      <c r="F157" s="806" t="str">
        <f>E192</f>
        <v>NGESO</v>
      </c>
      <c r="G157" s="202"/>
    </row>
    <row r="158" spans="1:15">
      <c r="A158" s="203"/>
      <c r="B158" s="821" t="str">
        <f t="shared" si="23"/>
        <v/>
      </c>
      <c r="C158" s="206"/>
      <c r="D158" s="206"/>
      <c r="E158" s="805" t="b">
        <f>OR((LEFT('RFPR cover'!$C$6,2)=Data!F158),'RFPR cover'!$C$5=Data!F158)</f>
        <v>0</v>
      </c>
      <c r="F158" s="806" t="str">
        <f>B202</f>
        <v>SPT</v>
      </c>
      <c r="G158" s="202"/>
    </row>
    <row r="159" spans="1:15">
      <c r="A159" s="203"/>
      <c r="B159" s="821" t="str">
        <f t="shared" si="23"/>
        <v/>
      </c>
      <c r="C159" s="206"/>
      <c r="D159" s="206"/>
      <c r="E159" s="807" t="b">
        <f>OR((LEFT('RFPR cover'!$C$6,2)=Data!F159),'RFPR cover'!$C$5=Data!F159)</f>
        <v>0</v>
      </c>
      <c r="F159" s="808" t="str">
        <f>E202</f>
        <v>SHET</v>
      </c>
      <c r="G159" s="297"/>
    </row>
    <row r="160" spans="1:15">
      <c r="A160" s="203"/>
      <c r="B160" s="206" t="str">
        <f t="shared" si="23"/>
        <v/>
      </c>
      <c r="C160" s="206"/>
      <c r="D160" s="206"/>
      <c r="E160" s="59"/>
      <c r="F160" s="806"/>
      <c r="G160" s="42"/>
    </row>
    <row r="161" spans="1:7">
      <c r="A161" s="203"/>
      <c r="B161" s="206"/>
      <c r="C161" s="206"/>
      <c r="D161" s="206"/>
      <c r="E161" s="59"/>
      <c r="F161" s="806"/>
      <c r="G161" s="42"/>
    </row>
    <row r="162" spans="1:7" ht="12" customHeight="1">
      <c r="A162" s="203"/>
      <c r="B162" s="966" t="s">
        <v>171</v>
      </c>
      <c r="C162" s="967"/>
      <c r="D162" s="206"/>
      <c r="E162" s="206"/>
    </row>
    <row r="163" spans="1:7">
      <c r="A163" s="203"/>
      <c r="B163" s="989" t="s">
        <v>391</v>
      </c>
      <c r="C163" s="990"/>
      <c r="D163" s="206"/>
      <c r="E163" s="206"/>
    </row>
    <row r="164" spans="1:7">
      <c r="A164" s="203"/>
      <c r="B164" s="989" t="s">
        <v>392</v>
      </c>
      <c r="C164" s="990"/>
      <c r="D164" s="206"/>
      <c r="E164" s="206"/>
    </row>
    <row r="165" spans="1:7">
      <c r="A165" s="203"/>
      <c r="B165" s="953" t="s">
        <v>393</v>
      </c>
      <c r="C165" s="954"/>
      <c r="D165" s="206"/>
      <c r="E165" s="206"/>
    </row>
    <row r="166" spans="1:7">
      <c r="A166" s="203"/>
      <c r="B166" s="953" t="s">
        <v>394</v>
      </c>
      <c r="C166" s="954"/>
      <c r="D166" s="206"/>
      <c r="E166" s="206"/>
    </row>
    <row r="167" spans="1:7">
      <c r="A167" s="203"/>
      <c r="B167" s="953" t="s">
        <v>395</v>
      </c>
      <c r="C167" s="954"/>
      <c r="D167" s="206"/>
      <c r="E167" s="206"/>
    </row>
    <row r="168" spans="1:7">
      <c r="A168" s="203"/>
      <c r="B168" s="953"/>
      <c r="C168" s="954"/>
      <c r="D168" s="206"/>
      <c r="E168" s="206"/>
    </row>
    <row r="169" spans="1:7">
      <c r="A169" s="203"/>
      <c r="B169" s="953"/>
      <c r="C169" s="954"/>
      <c r="D169" s="206"/>
      <c r="E169" s="206"/>
    </row>
    <row r="170" spans="1:7">
      <c r="A170" s="203"/>
      <c r="B170" s="206"/>
      <c r="C170" s="206"/>
      <c r="D170" s="206"/>
      <c r="E170" s="206"/>
    </row>
    <row r="171" spans="1:7">
      <c r="A171" s="203"/>
      <c r="B171" s="206"/>
      <c r="C171" s="206"/>
      <c r="D171" s="206"/>
      <c r="E171" s="206"/>
    </row>
    <row r="172" spans="1:7">
      <c r="A172" s="203"/>
      <c r="B172" s="966" t="s">
        <v>172</v>
      </c>
      <c r="C172" s="967"/>
      <c r="D172" s="206"/>
      <c r="E172" s="206"/>
    </row>
    <row r="173" spans="1:7" ht="12.75" customHeight="1">
      <c r="A173" s="203"/>
      <c r="B173" s="961" t="s">
        <v>222</v>
      </c>
      <c r="C173" s="962"/>
      <c r="D173" s="206"/>
      <c r="E173" s="206"/>
    </row>
    <row r="174" spans="1:7" ht="12.75" customHeight="1">
      <c r="A174" s="203"/>
      <c r="B174" s="958" t="s">
        <v>223</v>
      </c>
      <c r="C174" s="960"/>
      <c r="D174" s="206"/>
      <c r="E174" s="206"/>
    </row>
    <row r="175" spans="1:7" ht="12.75" customHeight="1">
      <c r="A175" s="203"/>
      <c r="B175" s="958" t="s">
        <v>224</v>
      </c>
      <c r="C175" s="960"/>
      <c r="D175" s="206"/>
      <c r="E175" s="206"/>
    </row>
    <row r="176" spans="1:7" ht="12.75" customHeight="1">
      <c r="A176" s="203"/>
      <c r="B176" s="958" t="s">
        <v>225</v>
      </c>
      <c r="C176" s="960"/>
      <c r="D176" s="206"/>
      <c r="E176" s="206"/>
    </row>
    <row r="177" spans="1:9" ht="12.75" customHeight="1">
      <c r="A177" s="203"/>
      <c r="B177" s="955" t="s">
        <v>306</v>
      </c>
      <c r="C177" s="957"/>
      <c r="D177" s="206"/>
      <c r="E177" s="206"/>
    </row>
    <row r="178" spans="1:9" ht="12.75" customHeight="1">
      <c r="A178" s="203"/>
      <c r="B178" s="955"/>
      <c r="C178" s="957"/>
      <c r="D178" s="206"/>
      <c r="E178" s="206"/>
    </row>
    <row r="179" spans="1:9" ht="12.75" customHeight="1">
      <c r="A179" s="203"/>
      <c r="B179" s="955"/>
      <c r="C179" s="957"/>
      <c r="D179" s="206"/>
      <c r="E179" s="206"/>
    </row>
    <row r="180" spans="1:9">
      <c r="A180" s="203"/>
      <c r="B180" s="206"/>
      <c r="C180" s="206"/>
      <c r="D180" s="206"/>
      <c r="E180" s="206"/>
    </row>
    <row r="181" spans="1:9">
      <c r="A181" s="203"/>
      <c r="B181" s="206"/>
      <c r="C181" s="206"/>
      <c r="D181" s="206"/>
      <c r="E181" s="206"/>
    </row>
    <row r="182" spans="1:9">
      <c r="A182" s="203"/>
      <c r="B182" s="963" t="str">
        <f>B95</f>
        <v>NGGT (TO)</v>
      </c>
      <c r="C182" s="964"/>
      <c r="D182" s="206"/>
      <c r="E182" s="963" t="str">
        <f>B96</f>
        <v>NGGT (SO)</v>
      </c>
      <c r="F182" s="988"/>
      <c r="G182" s="988"/>
      <c r="H182" s="988"/>
      <c r="I182" s="967"/>
    </row>
    <row r="183" spans="1:9" ht="12.4" customHeight="1">
      <c r="A183" s="203"/>
      <c r="B183" s="961" t="s">
        <v>218</v>
      </c>
      <c r="C183" s="962"/>
      <c r="D183" s="206"/>
      <c r="E183" s="958" t="s">
        <v>542</v>
      </c>
      <c r="F183" s="959" t="s">
        <v>542</v>
      </c>
      <c r="G183" s="959" t="s">
        <v>542</v>
      </c>
      <c r="H183" s="959" t="s">
        <v>542</v>
      </c>
      <c r="I183" s="960" t="s">
        <v>542</v>
      </c>
    </row>
    <row r="184" spans="1:9" ht="12.4" customHeight="1">
      <c r="A184" s="203"/>
      <c r="B184" s="958" t="s">
        <v>226</v>
      </c>
      <c r="C184" s="960"/>
      <c r="D184" s="206"/>
      <c r="E184" s="958" t="s">
        <v>543</v>
      </c>
      <c r="F184" s="959" t="s">
        <v>543</v>
      </c>
      <c r="G184" s="959" t="s">
        <v>543</v>
      </c>
      <c r="H184" s="959" t="s">
        <v>543</v>
      </c>
      <c r="I184" s="960" t="s">
        <v>543</v>
      </c>
    </row>
    <row r="185" spans="1:9" ht="12.4" customHeight="1">
      <c r="A185" s="203"/>
      <c r="B185" s="958"/>
      <c r="C185" s="960"/>
      <c r="D185" s="206"/>
      <c r="E185" s="958" t="s">
        <v>544</v>
      </c>
      <c r="F185" s="959" t="s">
        <v>544</v>
      </c>
      <c r="G185" s="959" t="s">
        <v>544</v>
      </c>
      <c r="H185" s="959" t="s">
        <v>544</v>
      </c>
      <c r="I185" s="960" t="s">
        <v>544</v>
      </c>
    </row>
    <row r="186" spans="1:9" ht="12.4" customHeight="1">
      <c r="A186" s="203"/>
      <c r="B186" s="958"/>
      <c r="C186" s="960"/>
      <c r="D186" s="206"/>
      <c r="E186" s="958" t="s">
        <v>545</v>
      </c>
      <c r="F186" s="959" t="s">
        <v>545</v>
      </c>
      <c r="G186" s="959" t="s">
        <v>545</v>
      </c>
      <c r="H186" s="959" t="s">
        <v>545</v>
      </c>
      <c r="I186" s="960" t="s">
        <v>545</v>
      </c>
    </row>
    <row r="187" spans="1:9" ht="12.4" customHeight="1">
      <c r="A187" s="203"/>
      <c r="B187" s="955"/>
      <c r="C187" s="957"/>
      <c r="D187" s="206"/>
      <c r="E187" s="958" t="s">
        <v>546</v>
      </c>
      <c r="F187" s="959" t="s">
        <v>546</v>
      </c>
      <c r="G187" s="959" t="s">
        <v>546</v>
      </c>
      <c r="H187" s="959" t="s">
        <v>546</v>
      </c>
      <c r="I187" s="960" t="s">
        <v>546</v>
      </c>
    </row>
    <row r="188" spans="1:9" ht="12.4" customHeight="1">
      <c r="A188" s="203"/>
      <c r="B188" s="955"/>
      <c r="C188" s="957"/>
      <c r="D188" s="206"/>
      <c r="E188" s="958" t="s">
        <v>547</v>
      </c>
      <c r="F188" s="959" t="s">
        <v>547</v>
      </c>
      <c r="G188" s="959" t="s">
        <v>547</v>
      </c>
      <c r="H188" s="959" t="s">
        <v>547</v>
      </c>
      <c r="I188" s="960" t="s">
        <v>547</v>
      </c>
    </row>
    <row r="189" spans="1:9" ht="12.4" customHeight="1">
      <c r="A189" s="203"/>
      <c r="B189" s="955"/>
      <c r="C189" s="957"/>
      <c r="D189" s="206"/>
      <c r="E189" s="958" t="s">
        <v>548</v>
      </c>
      <c r="F189" s="959" t="s">
        <v>548</v>
      </c>
      <c r="G189" s="959" t="s">
        <v>548</v>
      </c>
      <c r="H189" s="959" t="s">
        <v>548</v>
      </c>
      <c r="I189" s="960" t="s">
        <v>548</v>
      </c>
    </row>
    <row r="190" spans="1:9">
      <c r="A190" s="203"/>
      <c r="B190" s="206"/>
      <c r="C190" s="206"/>
      <c r="D190" s="206"/>
      <c r="E190" s="206"/>
    </row>
    <row r="191" spans="1:9">
      <c r="A191" s="203"/>
      <c r="B191" s="206"/>
      <c r="C191" s="206"/>
      <c r="D191" s="206"/>
      <c r="E191" s="206"/>
    </row>
    <row r="192" spans="1:9">
      <c r="A192" s="203"/>
      <c r="B192" s="963" t="str">
        <f>B97</f>
        <v>NGET (TO)</v>
      </c>
      <c r="C192" s="964"/>
      <c r="D192" s="206"/>
      <c r="E192" s="963" t="str">
        <f>B98</f>
        <v>NGESO</v>
      </c>
      <c r="F192" s="988"/>
      <c r="G192" s="988"/>
      <c r="H192" s="988"/>
      <c r="I192" s="967"/>
    </row>
    <row r="193" spans="1:9" ht="12.75" customHeight="1">
      <c r="A193" s="203"/>
      <c r="B193" s="961" t="s">
        <v>217</v>
      </c>
      <c r="C193" s="962"/>
      <c r="D193" s="206"/>
      <c r="E193" s="958" t="s">
        <v>549</v>
      </c>
      <c r="F193" s="959" t="s">
        <v>549</v>
      </c>
      <c r="G193" s="959" t="s">
        <v>549</v>
      </c>
      <c r="H193" s="959" t="s">
        <v>549</v>
      </c>
      <c r="I193" s="960" t="s">
        <v>549</v>
      </c>
    </row>
    <row r="194" spans="1:9" ht="12.75" customHeight="1">
      <c r="A194" s="203"/>
      <c r="B194" s="958" t="s">
        <v>218</v>
      </c>
      <c r="C194" s="960"/>
      <c r="D194" s="206"/>
      <c r="E194" s="958" t="s">
        <v>550</v>
      </c>
      <c r="F194" s="959" t="s">
        <v>550</v>
      </c>
      <c r="G194" s="959" t="s">
        <v>550</v>
      </c>
      <c r="H194" s="959" t="s">
        <v>550</v>
      </c>
      <c r="I194" s="960" t="s">
        <v>550</v>
      </c>
    </row>
    <row r="195" spans="1:9" ht="12.75" customHeight="1">
      <c r="A195" s="203"/>
      <c r="B195" s="958" t="s">
        <v>219</v>
      </c>
      <c r="C195" s="960"/>
      <c r="D195" s="206"/>
      <c r="E195" s="958" t="s">
        <v>551</v>
      </c>
      <c r="F195" s="959" t="s">
        <v>551</v>
      </c>
      <c r="G195" s="959" t="s">
        <v>551</v>
      </c>
      <c r="H195" s="959" t="s">
        <v>551</v>
      </c>
      <c r="I195" s="960" t="s">
        <v>551</v>
      </c>
    </row>
    <row r="196" spans="1:9" ht="12.75" customHeight="1">
      <c r="A196" s="203"/>
      <c r="B196" s="958" t="s">
        <v>220</v>
      </c>
      <c r="C196" s="960"/>
      <c r="D196" s="206"/>
      <c r="E196" s="958" t="s">
        <v>564</v>
      </c>
      <c r="F196" s="959"/>
      <c r="G196" s="959"/>
      <c r="H196" s="959"/>
      <c r="I196" s="960"/>
    </row>
    <row r="197" spans="1:9" ht="12.75" customHeight="1">
      <c r="A197" s="203"/>
      <c r="B197" s="955"/>
      <c r="C197" s="957"/>
      <c r="D197" s="206"/>
      <c r="E197" s="955"/>
      <c r="F197" s="956"/>
      <c r="G197" s="956"/>
      <c r="H197" s="956"/>
      <c r="I197" s="957"/>
    </row>
    <row r="198" spans="1:9" ht="12.75" customHeight="1">
      <c r="A198" s="203"/>
      <c r="B198" s="955"/>
      <c r="C198" s="957"/>
      <c r="D198" s="206"/>
      <c r="E198" s="955"/>
      <c r="F198" s="956"/>
      <c r="G198" s="956"/>
      <c r="H198" s="956"/>
      <c r="I198" s="957"/>
    </row>
    <row r="199" spans="1:9" ht="12.75" customHeight="1">
      <c r="A199" s="203"/>
      <c r="B199" s="955"/>
      <c r="C199" s="957"/>
      <c r="D199" s="206"/>
      <c r="E199" s="955"/>
      <c r="F199" s="956"/>
      <c r="G199" s="956"/>
      <c r="H199" s="956"/>
      <c r="I199" s="957"/>
    </row>
    <row r="200" spans="1:9" s="31" customFormat="1" ht="12.75" customHeight="1">
      <c r="A200" s="795"/>
      <c r="B200" s="795"/>
      <c r="C200" s="795"/>
      <c r="D200" s="796"/>
      <c r="E200" s="797"/>
      <c r="F200" s="797"/>
      <c r="G200" s="797"/>
      <c r="H200" s="797"/>
      <c r="I200" s="797"/>
    </row>
    <row r="201" spans="1:9" s="31" customFormat="1" ht="12.75" customHeight="1">
      <c r="A201" s="795"/>
      <c r="B201" s="795"/>
      <c r="C201" s="795"/>
      <c r="D201" s="796"/>
      <c r="E201" s="797"/>
      <c r="F201" s="797"/>
      <c r="G201" s="797"/>
      <c r="H201" s="797"/>
      <c r="I201" s="797"/>
    </row>
    <row r="202" spans="1:9">
      <c r="A202" s="203"/>
      <c r="B202" s="963" t="str">
        <f>B145</f>
        <v>SPT</v>
      </c>
      <c r="C202" s="964"/>
      <c r="D202" s="206"/>
      <c r="E202" s="963" t="str">
        <f>B100</f>
        <v>SHET</v>
      </c>
      <c r="F202" s="988"/>
      <c r="G202" s="988"/>
      <c r="H202" s="988"/>
      <c r="I202" s="967"/>
    </row>
    <row r="203" spans="1:9" ht="12.75" customHeight="1">
      <c r="A203" s="203"/>
      <c r="B203" s="961" t="s">
        <v>217</v>
      </c>
      <c r="C203" s="962"/>
      <c r="D203" s="206"/>
      <c r="E203" s="961" t="s">
        <v>217</v>
      </c>
      <c r="F203" s="991"/>
      <c r="G203" s="991"/>
      <c r="H203" s="991"/>
      <c r="I203" s="962"/>
    </row>
    <row r="204" spans="1:9" ht="12.75" customHeight="1">
      <c r="A204" s="203"/>
      <c r="B204" s="958" t="s">
        <v>218</v>
      </c>
      <c r="C204" s="960"/>
      <c r="D204" s="206"/>
      <c r="E204" s="958" t="s">
        <v>218</v>
      </c>
      <c r="F204" s="959"/>
      <c r="G204" s="959"/>
      <c r="H204" s="959"/>
      <c r="I204" s="960"/>
    </row>
    <row r="205" spans="1:9" ht="12.75" customHeight="1">
      <c r="A205" s="203"/>
      <c r="B205" s="958" t="s">
        <v>219</v>
      </c>
      <c r="C205" s="960"/>
      <c r="D205" s="206"/>
      <c r="E205" s="958" t="s">
        <v>219</v>
      </c>
      <c r="F205" s="959"/>
      <c r="G205" s="959"/>
      <c r="H205" s="959"/>
      <c r="I205" s="960"/>
    </row>
    <row r="206" spans="1:9" ht="12.75" customHeight="1">
      <c r="A206" s="203"/>
      <c r="B206" s="958" t="s">
        <v>220</v>
      </c>
      <c r="C206" s="960"/>
      <c r="D206" s="206"/>
      <c r="E206" s="958" t="s">
        <v>220</v>
      </c>
      <c r="F206" s="959"/>
      <c r="G206" s="959"/>
      <c r="H206" s="959"/>
      <c r="I206" s="960"/>
    </row>
    <row r="207" spans="1:9" ht="12.75" customHeight="1">
      <c r="A207" s="203"/>
      <c r="B207" s="955" t="s">
        <v>221</v>
      </c>
      <c r="C207" s="957"/>
      <c r="D207" s="206"/>
      <c r="E207" s="955" t="s">
        <v>221</v>
      </c>
      <c r="F207" s="956"/>
      <c r="G207" s="956"/>
      <c r="H207" s="956"/>
      <c r="I207" s="957"/>
    </row>
    <row r="208" spans="1:9" ht="12.75" customHeight="1">
      <c r="A208" s="203"/>
      <c r="B208" s="955"/>
      <c r="C208" s="957"/>
      <c r="D208" s="206"/>
      <c r="E208" s="955"/>
      <c r="F208" s="956"/>
      <c r="G208" s="956"/>
      <c r="H208" s="956"/>
      <c r="I208" s="957"/>
    </row>
    <row r="209" spans="1:14" ht="12.75" customHeight="1">
      <c r="A209" s="203"/>
      <c r="B209" s="955"/>
      <c r="C209" s="957"/>
      <c r="D209" s="206"/>
      <c r="E209" s="955"/>
      <c r="F209" s="956"/>
      <c r="G209" s="956"/>
      <c r="H209" s="956"/>
      <c r="I209" s="957"/>
    </row>
    <row r="210" spans="1:14">
      <c r="A210" s="203"/>
      <c r="D210" s="206"/>
      <c r="E210" s="206"/>
    </row>
    <row r="211" spans="1:14">
      <c r="A211" s="203"/>
      <c r="D211" s="206"/>
      <c r="E211" s="206"/>
    </row>
    <row r="212" spans="1:14" ht="12.75" customHeight="1">
      <c r="A212" s="203"/>
      <c r="B212" s="965" t="s">
        <v>239</v>
      </c>
      <c r="C212" s="965"/>
      <c r="D212" s="965"/>
      <c r="E212" s="285"/>
      <c r="F212" s="217"/>
      <c r="G212" s="217"/>
      <c r="H212" s="217"/>
      <c r="I212" s="217"/>
      <c r="J212" s="217"/>
      <c r="K212" s="217"/>
      <c r="L212" s="217"/>
      <c r="M212" s="217"/>
      <c r="N212" s="217"/>
    </row>
    <row r="213" spans="1:14">
      <c r="A213" s="203"/>
      <c r="B213" s="206"/>
      <c r="C213" s="206"/>
      <c r="D213" s="206"/>
      <c r="E213" s="206"/>
    </row>
    <row r="214" spans="1:14" ht="25.5">
      <c r="A214" s="203"/>
      <c r="B214" s="208" t="s">
        <v>129</v>
      </c>
      <c r="C214" s="207" t="s">
        <v>207</v>
      </c>
      <c r="D214" s="206"/>
      <c r="E214" s="206"/>
    </row>
    <row r="215" spans="1:14" ht="25.5">
      <c r="A215" s="203"/>
      <c r="B215" s="209" t="s">
        <v>130</v>
      </c>
      <c r="C215" s="290" t="s">
        <v>208</v>
      </c>
      <c r="D215" s="206"/>
      <c r="E215" s="206"/>
    </row>
    <row r="216" spans="1:14">
      <c r="B216" s="305"/>
      <c r="C216" s="42"/>
      <c r="D216" s="42"/>
      <c r="E216" s="42"/>
      <c r="F216" s="42"/>
      <c r="G216" s="42"/>
      <c r="H216" s="42"/>
      <c r="I216" s="42"/>
      <c r="J216" s="42"/>
    </row>
    <row r="217" spans="1:14">
      <c r="B217" s="204"/>
      <c r="I217" s="67"/>
    </row>
    <row r="218" spans="1:14">
      <c r="B218" s="811" t="s">
        <v>398</v>
      </c>
      <c r="I218" s="67"/>
    </row>
    <row r="219" spans="1:14">
      <c r="B219" s="813" t="s">
        <v>288</v>
      </c>
    </row>
    <row r="220" spans="1:14">
      <c r="B220" s="814" t="s">
        <v>287</v>
      </c>
    </row>
    <row r="221" spans="1:14">
      <c r="B221" s="817" t="s">
        <v>285</v>
      </c>
    </row>
    <row r="222" spans="1:14">
      <c r="B222" s="815"/>
    </row>
    <row r="223" spans="1:14">
      <c r="B223" s="213"/>
    </row>
    <row r="224" spans="1:14">
      <c r="B224" s="812" t="s">
        <v>283</v>
      </c>
    </row>
    <row r="225" spans="2:2">
      <c r="B225" s="816" t="s">
        <v>399</v>
      </c>
    </row>
    <row r="226" spans="2:2">
      <c r="B226" s="814" t="s">
        <v>400</v>
      </c>
    </row>
    <row r="227" spans="2:2">
      <c r="B227" s="814" t="s">
        <v>294</v>
      </c>
    </row>
    <row r="228" spans="2:2">
      <c r="B228" s="814" t="s">
        <v>401</v>
      </c>
    </row>
    <row r="229" spans="2:2">
      <c r="B229" s="814" t="s">
        <v>402</v>
      </c>
    </row>
    <row r="230" spans="2:2">
      <c r="B230" s="814" t="s">
        <v>286</v>
      </c>
    </row>
    <row r="231" spans="2:2">
      <c r="B231" s="814" t="s">
        <v>403</v>
      </c>
    </row>
    <row r="232" spans="2:2">
      <c r="B232" s="814"/>
    </row>
    <row r="233" spans="2:2">
      <c r="B233" s="815"/>
    </row>
    <row r="234" spans="2:2">
      <c r="B234" s="213"/>
    </row>
    <row r="235" spans="2:2">
      <c r="B235" s="812" t="s">
        <v>293</v>
      </c>
    </row>
    <row r="236" spans="2:2">
      <c r="B236" s="816" t="s">
        <v>404</v>
      </c>
    </row>
    <row r="237" spans="2:2">
      <c r="B237" s="814" t="s">
        <v>405</v>
      </c>
    </row>
    <row r="238" spans="2:2">
      <c r="B238" s="814" t="s">
        <v>406</v>
      </c>
    </row>
    <row r="239" spans="2:2">
      <c r="B239" s="814" t="s">
        <v>407</v>
      </c>
    </row>
    <row r="240" spans="2:2">
      <c r="B240" s="814" t="s">
        <v>408</v>
      </c>
    </row>
    <row r="241" spans="2:2">
      <c r="B241" s="815"/>
    </row>
    <row r="242" spans="2:2">
      <c r="B242" s="213"/>
    </row>
    <row r="243" spans="2:2">
      <c r="B243" s="812" t="s">
        <v>409</v>
      </c>
    </row>
    <row r="244" spans="2:2">
      <c r="B244" s="816" t="s">
        <v>410</v>
      </c>
    </row>
    <row r="245" spans="2:2">
      <c r="B245" s="814" t="s">
        <v>411</v>
      </c>
    </row>
    <row r="246" spans="2:2">
      <c r="B246" s="815"/>
    </row>
    <row r="247" spans="2:2">
      <c r="B247" s="213"/>
    </row>
    <row r="248" spans="2:2">
      <c r="B248" s="812" t="s">
        <v>412</v>
      </c>
    </row>
    <row r="249" spans="2:2">
      <c r="B249" s="816" t="s">
        <v>453</v>
      </c>
    </row>
    <row r="250" spans="2:2">
      <c r="B250" s="814" t="s">
        <v>452</v>
      </c>
    </row>
    <row r="251" spans="2:2">
      <c r="B251" s="815" t="s">
        <v>268</v>
      </c>
    </row>
    <row r="252" spans="2:2">
      <c r="B252" s="213"/>
    </row>
    <row r="253" spans="2:2">
      <c r="B253" s="812" t="s">
        <v>284</v>
      </c>
    </row>
    <row r="254" spans="2:2">
      <c r="B254" s="816" t="s">
        <v>413</v>
      </c>
    </row>
    <row r="255" spans="2:2">
      <c r="B255" s="814" t="s">
        <v>457</v>
      </c>
    </row>
    <row r="256" spans="2:2">
      <c r="B256" s="814"/>
    </row>
    <row r="257" spans="2:2">
      <c r="B257" s="815"/>
    </row>
    <row r="258" spans="2:2">
      <c r="B258" s="213"/>
    </row>
    <row r="259" spans="2:2">
      <c r="B259" s="812" t="s">
        <v>289</v>
      </c>
    </row>
    <row r="260" spans="2:2">
      <c r="B260" s="816" t="s">
        <v>290</v>
      </c>
    </row>
    <row r="261" spans="2:2">
      <c r="B261" s="814" t="s">
        <v>295</v>
      </c>
    </row>
    <row r="262" spans="2:2">
      <c r="B262" s="814"/>
    </row>
    <row r="263" spans="2:2">
      <c r="B263" s="815"/>
    </row>
    <row r="264" spans="2:2">
      <c r="B264" s="213"/>
    </row>
    <row r="265" spans="2:2">
      <c r="B265" s="812" t="s">
        <v>414</v>
      </c>
    </row>
    <row r="266" spans="2:2">
      <c r="B266" s="816" t="s">
        <v>288</v>
      </c>
    </row>
    <row r="267" spans="2:2">
      <c r="B267" s="814" t="s">
        <v>287</v>
      </c>
    </row>
    <row r="268" spans="2:2">
      <c r="B268" s="815"/>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E26:F27">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hyperlinks>
    <hyperlink ref="K39" r:id="rId1" display="August 2018 Publication" xr:uid="{C562EF64-D7D6-4D26-AAE0-3F35F1DBC71D}"/>
    <hyperlink ref="K39:M39" r:id="rId2" display="May 2021 Publication" xr:uid="{E2BC01D9-C2A6-4460-A70C-5DBE2B826B4A}"/>
  </hyperlinks>
  <pageMargins left="0.7" right="0.7" top="0.75" bottom="0.75" header="0.3" footer="0.3"/>
  <pageSetup paperSize="9" orientation="portrait" r:id="rId3"/>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907" t="s">
        <v>83</v>
      </c>
      <c r="B1" s="907"/>
      <c r="C1" s="907"/>
      <c r="D1" s="907"/>
      <c r="E1" s="907"/>
      <c r="F1" s="907"/>
      <c r="G1" s="907"/>
      <c r="H1" s="907"/>
      <c r="I1" s="32" t="s">
        <v>84</v>
      </c>
      <c r="J1" s="33"/>
      <c r="K1" s="33"/>
      <c r="L1" s="33"/>
      <c r="M1" s="33"/>
    </row>
    <row r="2" spans="1:14" s="31" customFormat="1" ht="20.25">
      <c r="A2" s="907" t="str">
        <f>'RFPR cover'!C5</f>
        <v>SPMW</v>
      </c>
      <c r="B2" s="907"/>
      <c r="C2" s="907"/>
      <c r="D2" s="907"/>
      <c r="E2" s="907"/>
      <c r="F2" s="907"/>
      <c r="G2" s="907"/>
      <c r="H2" s="907"/>
      <c r="I2" s="33"/>
      <c r="J2" s="33"/>
      <c r="K2" s="33"/>
      <c r="L2" s="33"/>
      <c r="M2" s="33"/>
      <c r="N2" s="366"/>
    </row>
    <row r="3" spans="1:14" s="31" customFormat="1" ht="20.25">
      <c r="A3" s="907">
        <f>'RFPR cover'!C7</f>
        <v>2021</v>
      </c>
      <c r="B3" s="907"/>
      <c r="C3" s="907"/>
      <c r="D3" s="907"/>
      <c r="E3" s="907"/>
      <c r="F3" s="907"/>
      <c r="G3" s="907"/>
      <c r="H3" s="907"/>
      <c r="I3" s="33"/>
      <c r="J3" s="33"/>
      <c r="K3" s="33"/>
      <c r="L3" s="33"/>
      <c r="M3" s="33"/>
      <c r="N3" s="366"/>
    </row>
    <row r="4" spans="1:14">
      <c r="A4" s="24"/>
      <c r="B4" s="24"/>
      <c r="C4" s="24"/>
      <c r="D4" s="24"/>
      <c r="E4" s="24"/>
      <c r="F4" s="24"/>
      <c r="G4" s="24"/>
      <c r="H4" s="24"/>
      <c r="I4" s="549"/>
      <c r="J4" s="549"/>
      <c r="K4" s="549"/>
      <c r="L4" s="549"/>
      <c r="M4" s="549"/>
      <c r="N4" s="42"/>
    </row>
    <row r="5" spans="1:14">
      <c r="A5" s="24"/>
      <c r="B5" s="24"/>
      <c r="C5" s="24"/>
      <c r="D5" s="24"/>
      <c r="E5" s="24"/>
      <c r="F5" s="24"/>
      <c r="G5" s="24"/>
      <c r="H5" s="24"/>
      <c r="I5" s="549"/>
      <c r="J5" s="549"/>
      <c r="K5" s="549"/>
      <c r="L5" s="549"/>
      <c r="M5" s="549"/>
      <c r="N5" s="42"/>
    </row>
    <row r="6" spans="1:14">
      <c r="A6" s="24"/>
      <c r="B6" s="25" t="s">
        <v>85</v>
      </c>
      <c r="C6" s="24"/>
      <c r="D6" s="24"/>
      <c r="E6" s="24"/>
      <c r="F6" s="24"/>
      <c r="G6" s="24"/>
      <c r="H6" s="24"/>
      <c r="I6" s="549"/>
      <c r="J6" s="549"/>
      <c r="K6" s="549"/>
      <c r="L6" s="549"/>
      <c r="M6" s="549"/>
      <c r="N6" s="42"/>
    </row>
    <row r="7" spans="1:14">
      <c r="A7" s="24"/>
      <c r="B7" s="24"/>
      <c r="C7" s="24"/>
      <c r="D7" s="24"/>
      <c r="E7" s="24"/>
      <c r="F7" s="24"/>
      <c r="G7" s="24"/>
      <c r="H7" s="24"/>
      <c r="I7" s="549"/>
      <c r="J7" s="549"/>
      <c r="K7" s="549"/>
      <c r="L7" s="549"/>
      <c r="M7" s="549"/>
      <c r="N7" s="42"/>
    </row>
    <row r="8" spans="1:14">
      <c r="A8" s="24"/>
      <c r="B8" s="47" t="s">
        <v>86</v>
      </c>
      <c r="C8" s="47" t="s">
        <v>87</v>
      </c>
      <c r="D8" s="994" t="s">
        <v>88</v>
      </c>
      <c r="E8" s="995"/>
      <c r="F8" s="995"/>
      <c r="G8" s="995"/>
      <c r="H8" s="995"/>
      <c r="I8" s="549"/>
      <c r="J8" s="549"/>
      <c r="K8" s="549"/>
      <c r="L8" s="549"/>
      <c r="M8" s="549"/>
      <c r="N8" s="42"/>
    </row>
    <row r="9" spans="1:14">
      <c r="A9" s="24"/>
      <c r="B9" s="26" t="s">
        <v>89</v>
      </c>
      <c r="C9" s="46"/>
      <c r="D9" s="992"/>
      <c r="E9" s="993"/>
      <c r="F9" s="993"/>
      <c r="G9" s="993"/>
      <c r="H9" s="993"/>
      <c r="I9" s="24"/>
      <c r="J9" s="24"/>
      <c r="K9" s="24"/>
      <c r="L9" s="24"/>
      <c r="M9" s="24"/>
    </row>
    <row r="10" spans="1:14">
      <c r="A10" s="24"/>
      <c r="B10" s="26" t="s">
        <v>90</v>
      </c>
      <c r="C10" s="46"/>
      <c r="D10" s="992"/>
      <c r="E10" s="993"/>
      <c r="F10" s="993"/>
      <c r="G10" s="993"/>
      <c r="H10" s="993"/>
      <c r="I10" s="24"/>
      <c r="J10" s="24"/>
      <c r="K10" s="24"/>
      <c r="L10" s="24"/>
      <c r="M10" s="24"/>
    </row>
    <row r="11" spans="1:14">
      <c r="A11" s="24"/>
      <c r="B11" s="26" t="s">
        <v>91</v>
      </c>
      <c r="C11" s="46"/>
      <c r="D11" s="992"/>
      <c r="E11" s="993"/>
      <c r="F11" s="993"/>
      <c r="G11" s="993"/>
      <c r="H11" s="993"/>
      <c r="I11" s="24"/>
      <c r="J11" s="24"/>
      <c r="K11" s="24"/>
      <c r="L11" s="24"/>
      <c r="M11" s="24"/>
    </row>
    <row r="12" spans="1:14">
      <c r="A12" s="24"/>
      <c r="B12" s="26" t="s">
        <v>92</v>
      </c>
      <c r="C12" s="46"/>
      <c r="D12" s="992"/>
      <c r="E12" s="993"/>
      <c r="F12" s="993"/>
      <c r="G12" s="993"/>
      <c r="H12" s="993"/>
      <c r="I12" s="24"/>
      <c r="J12" s="24"/>
      <c r="K12" s="24"/>
      <c r="L12" s="24"/>
      <c r="M12" s="24"/>
    </row>
    <row r="13" spans="1:14">
      <c r="A13" s="24"/>
      <c r="B13" s="26" t="s">
        <v>93</v>
      </c>
      <c r="C13" s="46"/>
      <c r="D13" s="992"/>
      <c r="E13" s="993"/>
      <c r="F13" s="993"/>
      <c r="G13" s="993"/>
      <c r="H13" s="993"/>
      <c r="I13" s="24"/>
      <c r="J13" s="24"/>
      <c r="K13" s="24"/>
      <c r="L13" s="24"/>
      <c r="M13" s="24"/>
    </row>
    <row r="14" spans="1:14">
      <c r="A14" s="24"/>
      <c r="B14" s="26" t="s">
        <v>94</v>
      </c>
      <c r="C14" s="46"/>
      <c r="D14" s="992"/>
      <c r="E14" s="993"/>
      <c r="F14" s="993"/>
      <c r="G14" s="993"/>
      <c r="H14" s="993"/>
      <c r="I14" s="24"/>
      <c r="J14" s="24"/>
      <c r="K14" s="24"/>
      <c r="L14" s="24"/>
      <c r="M14" s="24"/>
    </row>
    <row r="15" spans="1:14">
      <c r="A15" s="24"/>
      <c r="B15" s="26" t="s">
        <v>95</v>
      </c>
      <c r="C15" s="46"/>
      <c r="D15" s="992"/>
      <c r="E15" s="993"/>
      <c r="F15" s="993"/>
      <c r="G15" s="993"/>
      <c r="H15" s="993"/>
      <c r="I15" s="24"/>
      <c r="J15" s="24"/>
      <c r="K15" s="24"/>
      <c r="L15" s="24"/>
      <c r="M15" s="24"/>
    </row>
    <row r="16" spans="1:14">
      <c r="A16" s="24"/>
      <c r="B16" s="26" t="s">
        <v>96</v>
      </c>
      <c r="C16" s="46"/>
      <c r="D16" s="992"/>
      <c r="E16" s="993"/>
      <c r="F16" s="993"/>
      <c r="G16" s="993"/>
      <c r="H16" s="993"/>
      <c r="I16" s="24"/>
      <c r="J16" s="24"/>
      <c r="K16" s="24"/>
      <c r="L16" s="24"/>
      <c r="M16" s="24"/>
    </row>
    <row r="17" spans="1:13">
      <c r="A17" s="24"/>
      <c r="B17" s="26" t="s">
        <v>97</v>
      </c>
      <c r="C17" s="46"/>
      <c r="D17" s="992"/>
      <c r="E17" s="993"/>
      <c r="F17" s="993"/>
      <c r="G17" s="993"/>
      <c r="H17" s="993"/>
      <c r="I17" s="24"/>
      <c r="J17" s="24"/>
      <c r="K17" s="24"/>
      <c r="L17" s="24"/>
      <c r="M17" s="24"/>
    </row>
    <row r="18" spans="1:13">
      <c r="A18" s="24"/>
      <c r="B18" s="26" t="s">
        <v>98</v>
      </c>
      <c r="C18" s="46"/>
      <c r="D18" s="992"/>
      <c r="E18" s="993"/>
      <c r="F18" s="993"/>
      <c r="G18" s="993"/>
      <c r="H18" s="993"/>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261</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262</v>
      </c>
      <c r="C23" s="24"/>
      <c r="D23" s="24"/>
      <c r="E23" s="24"/>
      <c r="F23" s="24"/>
      <c r="G23" s="24"/>
      <c r="H23" s="24"/>
      <c r="I23" s="24"/>
      <c r="J23" s="24"/>
      <c r="K23" s="24"/>
      <c r="L23" s="24"/>
    </row>
    <row r="24" spans="1:13">
      <c r="B24" s="286" t="s">
        <v>99</v>
      </c>
    </row>
    <row r="25" spans="1:13">
      <c r="B25" s="286" t="s">
        <v>260</v>
      </c>
    </row>
    <row r="26" spans="1:13">
      <c r="B26" s="286" t="s">
        <v>100</v>
      </c>
    </row>
    <row r="27" spans="1:13">
      <c r="B27" s="286" t="s">
        <v>263</v>
      </c>
    </row>
    <row r="28" spans="1:13">
      <c r="B28" s="286" t="s">
        <v>279</v>
      </c>
    </row>
    <row r="29" spans="1:13">
      <c r="B29" s="286" t="s">
        <v>236</v>
      </c>
    </row>
    <row r="30" spans="1:13">
      <c r="B30" s="286" t="s">
        <v>282</v>
      </c>
    </row>
    <row r="31" spans="1:13">
      <c r="B31" s="286" t="s">
        <v>101</v>
      </c>
    </row>
    <row r="32" spans="1:13">
      <c r="B32" s="286" t="s">
        <v>259</v>
      </c>
    </row>
    <row r="33" spans="2:2">
      <c r="B33" s="286" t="s">
        <v>264</v>
      </c>
    </row>
    <row r="34" spans="2:2">
      <c r="B34" s="286" t="s">
        <v>257</v>
      </c>
    </row>
    <row r="35" spans="2:2">
      <c r="B35" s="286"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SPMW</v>
      </c>
      <c r="B2" s="29"/>
      <c r="C2" s="29"/>
      <c r="D2" s="29"/>
    </row>
    <row r="3" spans="1:4" s="31" customFormat="1" ht="20.25">
      <c r="A3" s="29">
        <f>'RFPR cover'!C7</f>
        <v>2021</v>
      </c>
      <c r="B3" s="29"/>
      <c r="C3" s="29"/>
      <c r="D3" s="29"/>
    </row>
    <row r="4" spans="1:4" s="31" customFormat="1" ht="20.25">
      <c r="A4" s="844"/>
      <c r="B4" s="844"/>
      <c r="C4" s="844"/>
      <c r="D4" s="844"/>
    </row>
    <row r="5" spans="1:4" ht="30">
      <c r="A5" s="841" t="s">
        <v>436</v>
      </c>
      <c r="B5" s="842" t="s">
        <v>437</v>
      </c>
      <c r="C5" s="843" t="s">
        <v>438</v>
      </c>
    </row>
    <row r="6" spans="1:4">
      <c r="A6" s="335">
        <v>1.1000000000000001</v>
      </c>
      <c r="B6" s="851" t="s">
        <v>519</v>
      </c>
      <c r="C6" s="858" t="s">
        <v>520</v>
      </c>
    </row>
    <row r="7" spans="1:4">
      <c r="A7" s="335">
        <v>1.1000000000000001</v>
      </c>
      <c r="B7" s="851" t="s">
        <v>519</v>
      </c>
      <c r="C7" s="858" t="s">
        <v>521</v>
      </c>
    </row>
    <row r="8" spans="1:4">
      <c r="A8" s="335">
        <v>1.1000000000000001</v>
      </c>
      <c r="B8" s="849" t="s">
        <v>522</v>
      </c>
      <c r="C8" s="857" t="s">
        <v>523</v>
      </c>
    </row>
    <row r="9" spans="1:4" ht="25.5">
      <c r="A9" s="335">
        <v>1.1000000000000001</v>
      </c>
      <c r="B9" s="849" t="s">
        <v>525</v>
      </c>
      <c r="C9" s="857" t="s">
        <v>526</v>
      </c>
    </row>
    <row r="10" spans="1:4">
      <c r="A10" s="335">
        <v>1.1000000000000001</v>
      </c>
      <c r="B10" s="849" t="s">
        <v>525</v>
      </c>
      <c r="C10" s="857" t="s">
        <v>528</v>
      </c>
    </row>
    <row r="11" spans="1:4">
      <c r="A11" s="335">
        <v>1.1000000000000001</v>
      </c>
      <c r="B11" s="849" t="s">
        <v>530</v>
      </c>
      <c r="C11" s="857" t="s">
        <v>529</v>
      </c>
    </row>
    <row r="12" spans="1:4" ht="25.5">
      <c r="A12" s="335">
        <v>1.1000000000000001</v>
      </c>
      <c r="B12" s="849" t="s">
        <v>525</v>
      </c>
      <c r="C12" s="857" t="s">
        <v>531</v>
      </c>
    </row>
    <row r="13" spans="1:4" ht="51">
      <c r="A13" s="335">
        <v>1.1000000000000001</v>
      </c>
      <c r="B13" s="849" t="s">
        <v>525</v>
      </c>
      <c r="C13" s="857" t="s">
        <v>532</v>
      </c>
    </row>
    <row r="14" spans="1:4">
      <c r="A14" s="336">
        <v>1.1000000000000001</v>
      </c>
      <c r="B14" s="849" t="s">
        <v>533</v>
      </c>
      <c r="C14" s="857" t="s">
        <v>534</v>
      </c>
    </row>
    <row r="15" spans="1:4">
      <c r="A15" s="336">
        <v>1.1000000000000001</v>
      </c>
      <c r="B15" s="849" t="s">
        <v>522</v>
      </c>
      <c r="C15" s="857" t="s">
        <v>535</v>
      </c>
    </row>
    <row r="16" spans="1:4" ht="38.25">
      <c r="A16" s="336">
        <v>1.1000000000000001</v>
      </c>
      <c r="B16" s="849" t="s">
        <v>536</v>
      </c>
      <c r="C16" s="857" t="s">
        <v>537</v>
      </c>
    </row>
    <row r="17" spans="1:3">
      <c r="A17" s="336">
        <v>1.1000000000000001</v>
      </c>
      <c r="B17" s="849" t="s">
        <v>530</v>
      </c>
      <c r="C17" s="287" t="s">
        <v>538</v>
      </c>
    </row>
    <row r="18" spans="1:3" ht="25.5">
      <c r="A18" s="336">
        <v>1.1000000000000001</v>
      </c>
      <c r="B18" s="849" t="s">
        <v>530</v>
      </c>
      <c r="C18" s="287" t="s">
        <v>539</v>
      </c>
    </row>
    <row r="19" spans="1:3">
      <c r="A19" s="336">
        <v>1.1000000000000001</v>
      </c>
      <c r="B19" s="849" t="s">
        <v>540</v>
      </c>
      <c r="C19" s="287" t="s">
        <v>541</v>
      </c>
    </row>
    <row r="20" spans="1:3" ht="25.5">
      <c r="A20" s="336">
        <v>1.1000000000000001</v>
      </c>
      <c r="B20" s="849" t="s">
        <v>540</v>
      </c>
      <c r="C20" s="287" t="s">
        <v>552</v>
      </c>
    </row>
    <row r="21" spans="1:3">
      <c r="A21" s="336">
        <v>1.1000000000000001</v>
      </c>
      <c r="B21" s="849" t="s">
        <v>553</v>
      </c>
      <c r="C21" s="287" t="s">
        <v>554</v>
      </c>
    </row>
    <row r="22" spans="1:3">
      <c r="A22" s="336">
        <v>1.1000000000000001</v>
      </c>
      <c r="B22" s="336" t="s">
        <v>533</v>
      </c>
      <c r="C22" s="287" t="s">
        <v>555</v>
      </c>
    </row>
    <row r="23" spans="1:3" ht="25.5">
      <c r="A23" s="336">
        <v>1.1000000000000001</v>
      </c>
      <c r="B23" s="849" t="s">
        <v>533</v>
      </c>
      <c r="C23" s="287" t="s">
        <v>556</v>
      </c>
    </row>
    <row r="24" spans="1:3" ht="25.5">
      <c r="A24" s="336">
        <v>1.1000000000000001</v>
      </c>
      <c r="B24" s="849" t="s">
        <v>536</v>
      </c>
      <c r="C24" s="287" t="s">
        <v>557</v>
      </c>
    </row>
    <row r="25" spans="1:3" ht="26.25" thickBot="1">
      <c r="A25" s="945">
        <v>1.1000000000000001</v>
      </c>
      <c r="B25" s="946" t="s">
        <v>540</v>
      </c>
      <c r="C25" s="947" t="s">
        <v>559</v>
      </c>
    </row>
    <row r="26" spans="1:3">
      <c r="A26" s="942">
        <v>1.1000000000000001</v>
      </c>
      <c r="B26" s="943" t="s">
        <v>533</v>
      </c>
      <c r="C26" s="944" t="s">
        <v>560</v>
      </c>
    </row>
    <row r="27" spans="1:3">
      <c r="A27" s="942">
        <v>1.1000000000000001</v>
      </c>
      <c r="B27" s="849" t="s">
        <v>540</v>
      </c>
      <c r="C27" s="287" t="s">
        <v>561</v>
      </c>
    </row>
    <row r="28" spans="1:3" ht="25.5">
      <c r="A28" s="336">
        <v>1.1000000000000001</v>
      </c>
      <c r="B28" s="849" t="s">
        <v>540</v>
      </c>
      <c r="C28" s="287" t="s">
        <v>562</v>
      </c>
    </row>
    <row r="29" spans="1:3">
      <c r="A29" s="948">
        <v>2</v>
      </c>
      <c r="B29" s="849" t="s">
        <v>540</v>
      </c>
      <c r="C29" s="287" t="s">
        <v>565</v>
      </c>
    </row>
    <row r="30" spans="1:3">
      <c r="A30" s="948">
        <v>2</v>
      </c>
      <c r="B30" s="849" t="s">
        <v>540</v>
      </c>
      <c r="C30" s="287" t="s">
        <v>566</v>
      </c>
    </row>
    <row r="31" spans="1:3">
      <c r="A31" s="948">
        <v>2</v>
      </c>
      <c r="B31" s="849" t="s">
        <v>540</v>
      </c>
      <c r="C31" s="287" t="s">
        <v>569</v>
      </c>
    </row>
    <row r="32" spans="1:3" ht="25.5">
      <c r="A32" s="948">
        <v>2</v>
      </c>
      <c r="B32" s="849" t="s">
        <v>263</v>
      </c>
      <c r="C32" s="871" t="s">
        <v>571</v>
      </c>
    </row>
    <row r="33" spans="1:3" ht="27.75" customHeight="1">
      <c r="A33" s="948">
        <v>2</v>
      </c>
      <c r="B33" s="849" t="s">
        <v>567</v>
      </c>
      <c r="C33" s="287" t="s">
        <v>568</v>
      </c>
    </row>
    <row r="34" spans="1:3">
      <c r="A34" s="336">
        <v>2.1</v>
      </c>
      <c r="B34" s="849" t="s">
        <v>259</v>
      </c>
      <c r="C34" s="287" t="s">
        <v>570</v>
      </c>
    </row>
    <row r="35" spans="1:3" ht="25.5">
      <c r="A35" s="336">
        <v>2.1</v>
      </c>
      <c r="B35" s="849" t="s">
        <v>263</v>
      </c>
      <c r="C35" s="287" t="s">
        <v>572</v>
      </c>
    </row>
    <row r="36" spans="1:3">
      <c r="A36" s="337"/>
      <c r="B36" s="874"/>
      <c r="C36" s="287"/>
    </row>
    <row r="37" spans="1:3">
      <c r="A37" s="337"/>
      <c r="B37" s="874"/>
      <c r="C37" s="287"/>
    </row>
    <row r="38" spans="1:3">
      <c r="A38" s="337"/>
      <c r="B38" s="874"/>
      <c r="C38" s="287"/>
    </row>
    <row r="39" spans="1:3">
      <c r="A39" s="337"/>
      <c r="B39" s="874"/>
      <c r="C39" s="287"/>
    </row>
    <row r="40" spans="1:3">
      <c r="A40" s="336"/>
      <c r="B40" s="874"/>
      <c r="C40" s="287"/>
    </row>
    <row r="41" spans="1:3">
      <c r="A41" s="337"/>
      <c r="B41" s="874"/>
      <c r="C41" s="287"/>
    </row>
    <row r="42" spans="1:3">
      <c r="A42" s="337"/>
      <c r="B42" s="874"/>
      <c r="C42" s="287"/>
    </row>
    <row r="43" spans="1:3">
      <c r="A43" s="337"/>
      <c r="B43" s="874"/>
      <c r="C43" s="287"/>
    </row>
    <row r="44" spans="1:3">
      <c r="A44" s="337"/>
      <c r="B44" s="849"/>
      <c r="C44" s="287"/>
    </row>
    <row r="45" spans="1:3">
      <c r="A45" s="337"/>
      <c r="B45" s="849"/>
      <c r="C45" s="287"/>
    </row>
    <row r="46" spans="1:3">
      <c r="A46" s="337"/>
      <c r="B46" s="849"/>
      <c r="C46" s="287"/>
    </row>
    <row r="47" spans="1:3">
      <c r="A47" s="337"/>
      <c r="B47" s="849"/>
      <c r="C47" s="287"/>
    </row>
    <row r="48" spans="1:3">
      <c r="A48" s="337"/>
      <c r="B48" s="849"/>
      <c r="C48" s="287"/>
    </row>
    <row r="49" spans="1:3">
      <c r="A49" s="337"/>
      <c r="B49" s="849"/>
      <c r="C49" s="287"/>
    </row>
    <row r="50" spans="1:3">
      <c r="A50" s="337"/>
      <c r="B50" s="849"/>
      <c r="C50" s="287"/>
    </row>
    <row r="51" spans="1:3">
      <c r="A51" s="337"/>
      <c r="B51" s="849"/>
      <c r="C51" s="287"/>
    </row>
    <row r="52" spans="1:3">
      <c r="A52" s="337"/>
      <c r="B52" s="849"/>
      <c r="C52" s="287"/>
    </row>
    <row r="53" spans="1:3">
      <c r="A53" s="337"/>
      <c r="B53" s="849"/>
      <c r="C53" s="287"/>
    </row>
    <row r="54" spans="1:3">
      <c r="A54" s="337"/>
      <c r="B54" s="882"/>
      <c r="C54" s="883"/>
    </row>
    <row r="55" spans="1:3">
      <c r="A55" s="337"/>
      <c r="B55" s="849"/>
      <c r="C55" s="287"/>
    </row>
    <row r="56" spans="1:3">
      <c r="A56" s="337"/>
      <c r="B56" s="849"/>
      <c r="C56" s="287"/>
    </row>
    <row r="57" spans="1:3">
      <c r="A57" s="337"/>
      <c r="B57" s="849"/>
      <c r="C57" s="287"/>
    </row>
    <row r="58" spans="1:3">
      <c r="A58" s="337"/>
      <c r="B58" s="849"/>
      <c r="C58" s="287"/>
    </row>
    <row r="59" spans="1:3">
      <c r="A59" s="337"/>
      <c r="B59" s="849"/>
      <c r="C59" s="871"/>
    </row>
    <row r="60" spans="1:3">
      <c r="A60" s="338"/>
      <c r="B60" s="850"/>
      <c r="C60" s="288"/>
    </row>
    <row r="61" spans="1:3">
      <c r="A61" s="338"/>
      <c r="B61" s="850"/>
      <c r="C61" s="288"/>
    </row>
    <row r="62" spans="1:3">
      <c r="A62" s="338"/>
      <c r="B62" s="850"/>
      <c r="C62" s="288"/>
    </row>
    <row r="63" spans="1:3">
      <c r="A63" s="338"/>
      <c r="B63" s="850"/>
      <c r="C63" s="288"/>
    </row>
    <row r="64" spans="1:3">
      <c r="A64" s="338"/>
      <c r="B64" s="850"/>
      <c r="C64" s="288"/>
    </row>
    <row r="65" spans="1:3">
      <c r="A65" s="338"/>
      <c r="B65" s="850"/>
      <c r="C65" s="288"/>
    </row>
    <row r="66" spans="1:3">
      <c r="A66" s="338"/>
      <c r="B66" s="850"/>
      <c r="C66" s="288"/>
    </row>
    <row r="67" spans="1:3">
      <c r="A67" s="338"/>
      <c r="B67" s="850"/>
      <c r="C67" s="288"/>
    </row>
  </sheetData>
  <pageMargins left="0.70866141732283472" right="0.70866141732283472" top="0.74803149606299213" bottom="0.74803149606299213" header="0.31496062992125984" footer="0.31496062992125984"/>
  <pageSetup paperSize="8" scale="69"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2" t="s">
        <v>238</v>
      </c>
      <c r="B1" s="921"/>
      <c r="C1" s="922"/>
      <c r="D1" s="922"/>
      <c r="E1" s="922"/>
      <c r="F1" s="922"/>
      <c r="G1" s="256"/>
      <c r="H1" s="256"/>
      <c r="I1" s="257"/>
      <c r="J1" s="257"/>
      <c r="K1" s="258"/>
      <c r="L1" s="258"/>
      <c r="M1" s="258"/>
      <c r="N1" s="258"/>
      <c r="O1" s="367" t="s">
        <v>84</v>
      </c>
    </row>
    <row r="2" spans="1:16" s="31" customFormat="1" ht="20.25">
      <c r="A2" s="915" t="str">
        <f>'RFPR cover'!C5</f>
        <v>SPMW</v>
      </c>
      <c r="B2" s="923"/>
      <c r="C2" s="907"/>
      <c r="D2" s="907"/>
      <c r="E2" s="907"/>
      <c r="F2" s="907"/>
      <c r="G2" s="29"/>
      <c r="H2" s="29"/>
      <c r="I2" s="27"/>
      <c r="J2" s="27"/>
      <c r="K2" s="27"/>
      <c r="L2" s="27"/>
      <c r="M2" s="27"/>
      <c r="N2" s="27"/>
      <c r="O2" s="123"/>
    </row>
    <row r="3" spans="1:16" s="31" customFormat="1" ht="23.25">
      <c r="A3" s="918">
        <f>'RFPR cover'!C7</f>
        <v>2021</v>
      </c>
      <c r="B3" s="924" t="str">
        <f>IF('RFPR cover'!C5=Data!B98,"Not required to be completed for System Operator",(IF('RFPR cover'!C5=Data!B96,"Not required to be completed for System Operator","")))</f>
        <v/>
      </c>
      <c r="C3" s="925"/>
      <c r="D3" s="925"/>
      <c r="E3" s="925"/>
      <c r="F3" s="925"/>
      <c r="G3" s="260"/>
      <c r="H3" s="260"/>
      <c r="I3" s="255"/>
      <c r="J3" s="255"/>
      <c r="K3" s="255"/>
      <c r="L3" s="255"/>
      <c r="M3" s="255"/>
      <c r="N3" s="255"/>
      <c r="O3" s="261"/>
    </row>
    <row r="4" spans="1:16" ht="12.75" customHeight="1"/>
    <row r="5" spans="1:1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L5" s="2"/>
      <c r="M5" s="2"/>
    </row>
    <row r="6" spans="1:16"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2021</v>
      </c>
      <c r="N6" s="194" t="s">
        <v>109</v>
      </c>
    </row>
    <row r="7" spans="1:16">
      <c r="C7" s="172"/>
      <c r="D7" s="172"/>
      <c r="E7" s="172"/>
      <c r="F7" s="172"/>
      <c r="G7" s="172"/>
      <c r="H7" s="172"/>
      <c r="I7" s="172"/>
      <c r="J7" s="172"/>
      <c r="K7" s="172"/>
      <c r="L7" s="172"/>
      <c r="M7" s="172"/>
      <c r="N7" s="172"/>
      <c r="O7" s="172"/>
    </row>
    <row r="8" spans="1:16">
      <c r="B8" s="532" t="s">
        <v>108</v>
      </c>
      <c r="C8" s="424"/>
      <c r="D8" s="424"/>
      <c r="E8" s="424"/>
      <c r="F8" s="424"/>
      <c r="G8" s="424"/>
      <c r="H8" s="424"/>
      <c r="I8" s="424"/>
      <c r="J8" s="424"/>
      <c r="K8" s="424"/>
      <c r="L8" s="533"/>
      <c r="M8" s="217"/>
      <c r="N8" s="217"/>
      <c r="O8" s="217"/>
    </row>
    <row r="9" spans="1:16">
      <c r="B9" s="197"/>
      <c r="D9" s="42"/>
      <c r="E9" s="42"/>
      <c r="F9" s="42"/>
      <c r="G9" s="42"/>
      <c r="H9" s="42"/>
      <c r="I9" s="42"/>
      <c r="J9" s="42"/>
      <c r="K9" s="42"/>
      <c r="L9" s="49"/>
    </row>
    <row r="10" spans="1:16">
      <c r="B10" s="252" t="s">
        <v>214</v>
      </c>
      <c r="C10" s="254" t="s">
        <v>7</v>
      </c>
      <c r="D10" s="508">
        <f t="shared" ref="D10:K19" si="1">D48/D$65</f>
        <v>0.06</v>
      </c>
      <c r="E10" s="510">
        <f t="shared" si="1"/>
        <v>0.06</v>
      </c>
      <c r="F10" s="510">
        <f t="shared" si="1"/>
        <v>5.9999999999999991E-2</v>
      </c>
      <c r="G10" s="510">
        <f t="shared" si="1"/>
        <v>5.9999999999999991E-2</v>
      </c>
      <c r="H10" s="510">
        <f t="shared" si="1"/>
        <v>0.06</v>
      </c>
      <c r="I10" s="510">
        <f t="shared" si="1"/>
        <v>0.06</v>
      </c>
      <c r="J10" s="510">
        <f t="shared" si="1"/>
        <v>5.9999999999999991E-2</v>
      </c>
      <c r="K10" s="509">
        <f t="shared" si="1"/>
        <v>6.0000000000000005E-2</v>
      </c>
      <c r="L10" s="173"/>
      <c r="M10" s="509">
        <f>AVERAGE(D48:INDEX(D48:K48,0,MATCH('RFPR cover'!$C$7,$D$6:$K$6,0)))/AVERAGE($D$65:INDEX($D$65:$K$65,0,MATCH('RFPR cover'!$C$7,$D$6:$K$6,0)))</f>
        <v>5.9999999999999991E-2</v>
      </c>
      <c r="N10" s="509">
        <f>AVERAGE(D48:K48)/AVERAGE($D$65:$K$65)</f>
        <v>5.9999999999999991E-2</v>
      </c>
    </row>
    <row r="11" spans="1:16">
      <c r="B11" s="252" t="str">
        <f t="shared" ref="B11:B18" si="2">B49</f>
        <v>Totex outperformance</v>
      </c>
      <c r="C11" s="254" t="s">
        <v>7</v>
      </c>
      <c r="D11" s="175">
        <f t="shared" si="1"/>
        <v>1.1976385853713996E-3</v>
      </c>
      <c r="E11" s="176">
        <f t="shared" si="1"/>
        <v>6.6894416599666052E-4</v>
      </c>
      <c r="F11" s="176">
        <f t="shared" si="1"/>
        <v>6.7350524119217455E-4</v>
      </c>
      <c r="G11" s="176">
        <f t="shared" si="1"/>
        <v>1.0329598414464411E-3</v>
      </c>
      <c r="H11" s="176">
        <f t="shared" si="1"/>
        <v>-2.1315364964346238E-2</v>
      </c>
      <c r="I11" s="176">
        <f t="shared" si="1"/>
        <v>-2.0969700829455571E-2</v>
      </c>
      <c r="J11" s="176">
        <f t="shared" si="1"/>
        <v>-2.0722089949394909E-2</v>
      </c>
      <c r="K11" s="177">
        <f t="shared" si="1"/>
        <v>-2.0570908815554033E-2</v>
      </c>
      <c r="L11" s="173"/>
      <c r="M11" s="177">
        <f>AVERAGE(D49:INDEX(D49:K49,0,MATCH('RFPR cover'!$C$7,$D$6:$K$6,0)))/AVERAGE($D$65:INDEX($D$65:$K$65,0,MATCH('RFPR cover'!$C$7,$D$6:$K$6,0)))</f>
        <v>-6.8631249218147321E-3</v>
      </c>
      <c r="N11" s="177">
        <f t="shared" ref="N11:N19" si="3">AVERAGE(D49:K49)/AVERAGE($D$65:$K$65)</f>
        <v>-1.0524176937306687E-2</v>
      </c>
      <c r="P11" s="173"/>
    </row>
    <row r="12" spans="1:16">
      <c r="B12" s="252" t="str">
        <f t="shared" si="2"/>
        <v>IQI Reward</v>
      </c>
      <c r="C12" s="254" t="s">
        <v>7</v>
      </c>
      <c r="D12" s="175">
        <f t="shared" si="1"/>
        <v>-4.0038908281198283E-3</v>
      </c>
      <c r="E12" s="176">
        <f t="shared" si="1"/>
        <v>-3.9872904238240333E-3</v>
      </c>
      <c r="F12" s="176">
        <f t="shared" si="1"/>
        <v>-3.493605593769268E-3</v>
      </c>
      <c r="G12" s="176">
        <f t="shared" si="1"/>
        <v>-3.0666717035026606E-3</v>
      </c>
      <c r="H12" s="176">
        <f t="shared" si="1"/>
        <v>-2.9438047021348277E-3</v>
      </c>
      <c r="I12" s="176">
        <f t="shared" si="1"/>
        <v>-2.9215194770234238E-3</v>
      </c>
      <c r="J12" s="176">
        <f t="shared" si="1"/>
        <v>-2.6488280771856249E-3</v>
      </c>
      <c r="K12" s="177">
        <f t="shared" si="1"/>
        <v>-2.3322198590353437E-3</v>
      </c>
      <c r="L12" s="173"/>
      <c r="M12" s="177">
        <f>AVERAGE(D50:INDEX(D50:K50,0,MATCH('RFPR cover'!$C$7,$D$6:$K$6,0)))/AVERAGE($D$65:INDEX($D$65:$K$65,0,MATCH('RFPR cover'!$C$7,$D$6:$K$6,0)))</f>
        <v>-3.3807040564802996E-3</v>
      </c>
      <c r="N12" s="177">
        <f t="shared" si="3"/>
        <v>-3.1439697749884071E-3</v>
      </c>
    </row>
    <row r="13" spans="1:16">
      <c r="B13" s="252" t="str">
        <f t="shared" si="2"/>
        <v>Broad measure of customer service</v>
      </c>
      <c r="C13" s="254" t="s">
        <v>7</v>
      </c>
      <c r="D13" s="175">
        <f t="shared" si="1"/>
        <v>4.7152184479809581E-3</v>
      </c>
      <c r="E13" s="176">
        <f t="shared" si="1"/>
        <v>4.822049096240533E-3</v>
      </c>
      <c r="F13" s="176">
        <f t="shared" si="1"/>
        <v>4.1274853169322185E-3</v>
      </c>
      <c r="G13" s="176">
        <f t="shared" si="1"/>
        <v>5.8383737098343432E-3</v>
      </c>
      <c r="H13" s="176">
        <f t="shared" si="1"/>
        <v>5.8632568317387949E-3</v>
      </c>
      <c r="I13" s="176">
        <f t="shared" si="1"/>
        <v>4.4945266944129815E-3</v>
      </c>
      <c r="J13" s="176">
        <f t="shared" si="1"/>
        <v>4.4361603572627781E-3</v>
      </c>
      <c r="K13" s="177">
        <f t="shared" si="1"/>
        <v>4.0528986255142655E-3</v>
      </c>
      <c r="L13" s="173"/>
      <c r="M13" s="177">
        <f>AVERAGE(D51:INDEX(D51:K51,0,MATCH('RFPR cover'!$C$7,$D$6:$K$6,0)))/AVERAGE($D$65:INDEX($D$65:$K$65,0,MATCH('RFPR cover'!$C$7,$D$6:$K$6,0)))</f>
        <v>4.9880398249872544E-3</v>
      </c>
      <c r="N13" s="177">
        <f t="shared" si="3"/>
        <v>4.7902051677990382E-3</v>
      </c>
    </row>
    <row r="14" spans="1:16">
      <c r="B14" s="252" t="str">
        <f t="shared" si="2"/>
        <v>Interruptions-related quality of service</v>
      </c>
      <c r="C14" s="254" t="s">
        <v>7</v>
      </c>
      <c r="D14" s="175">
        <f t="shared" si="1"/>
        <v>8.7678477159680579E-3</v>
      </c>
      <c r="E14" s="176">
        <f t="shared" si="1"/>
        <v>3.7817110905578964E-3</v>
      </c>
      <c r="F14" s="176">
        <f t="shared" si="1"/>
        <v>6.5026399652349963E-3</v>
      </c>
      <c r="G14" s="176">
        <f t="shared" si="1"/>
        <v>2.5817696244427924E-3</v>
      </c>
      <c r="H14" s="176">
        <f t="shared" si="1"/>
        <v>3.0397426306442129E-3</v>
      </c>
      <c r="I14" s="176">
        <f t="shared" si="1"/>
        <v>1.81986222073241E-3</v>
      </c>
      <c r="J14" s="176">
        <f t="shared" si="1"/>
        <v>2.899451213897241E-3</v>
      </c>
      <c r="K14" s="177">
        <f t="shared" si="1"/>
        <v>2.3546252000082881E-3</v>
      </c>
      <c r="L14" s="173"/>
      <c r="M14" s="177">
        <f>AVERAGE(D52:INDEX(D52:K52,0,MATCH('RFPR cover'!$C$7,$D$6:$K$6,0)))/AVERAGE($D$65:INDEX($D$65:$K$65,0,MATCH('RFPR cover'!$C$7,$D$6:$K$6,0)))</f>
        <v>4.3159920356097194E-3</v>
      </c>
      <c r="N14" s="177">
        <f t="shared" si="3"/>
        <v>3.8668817632683712E-3</v>
      </c>
    </row>
    <row r="15" spans="1:16">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row>
    <row r="16" spans="1:16">
      <c r="B16" s="252" t="str">
        <f t="shared" si="2"/>
        <v>Time to Connect Incentive</v>
      </c>
      <c r="C16" s="254" t="s">
        <v>7</v>
      </c>
      <c r="D16" s="175">
        <f t="shared" si="1"/>
        <v>1.5337567307083624E-3</v>
      </c>
      <c r="E16" s="176">
        <f t="shared" si="1"/>
        <v>8.8324814701857017E-4</v>
      </c>
      <c r="F16" s="176">
        <f t="shared" si="1"/>
        <v>8.5454297925119035E-4</v>
      </c>
      <c r="G16" s="176">
        <f t="shared" si="1"/>
        <v>8.2627752540688016E-4</v>
      </c>
      <c r="H16" s="176">
        <f t="shared" si="1"/>
        <v>1.3881159796814844E-4</v>
      </c>
      <c r="I16" s="176">
        <f t="shared" si="1"/>
        <v>1.2034227416252342E-4</v>
      </c>
      <c r="J16" s="176">
        <f t="shared" si="1"/>
        <v>7.8285182775225497E-4</v>
      </c>
      <c r="K16" s="177">
        <f t="shared" si="1"/>
        <v>7.152174045025174E-4</v>
      </c>
      <c r="L16" s="173"/>
      <c r="M16" s="177">
        <f>AVERAGE(D54:INDEX(D54:K54,0,MATCH('RFPR cover'!$C$7,$D$6:$K$6,0)))/AVERAGE($D$65:INDEX($D$65:$K$65,0,MATCH('RFPR cover'!$C$7,$D$6:$K$6,0)))</f>
        <v>7.0376136805562711E-4</v>
      </c>
      <c r="N16" s="177">
        <f t="shared" si="3"/>
        <v>7.1572683706220706E-4</v>
      </c>
    </row>
    <row r="17" spans="2:16">
      <c r="B17" s="252" t="str">
        <f t="shared" si="2"/>
        <v>Losses discretionary reward scheme</v>
      </c>
      <c r="C17" s="254" t="s">
        <v>7</v>
      </c>
      <c r="D17" s="175">
        <f t="shared" si="1"/>
        <v>0</v>
      </c>
      <c r="E17" s="176">
        <f t="shared" si="1"/>
        <v>5.6675089433691592E-4</v>
      </c>
      <c r="F17" s="176">
        <f t="shared" si="1"/>
        <v>0</v>
      </c>
      <c r="G17" s="176">
        <f t="shared" si="1"/>
        <v>0</v>
      </c>
      <c r="H17" s="176">
        <f t="shared" si="1"/>
        <v>0</v>
      </c>
      <c r="I17" s="176">
        <f t="shared" si="1"/>
        <v>0</v>
      </c>
      <c r="J17" s="176">
        <f t="shared" si="1"/>
        <v>0</v>
      </c>
      <c r="K17" s="177">
        <f t="shared" si="1"/>
        <v>0</v>
      </c>
      <c r="L17" s="173"/>
      <c r="M17" s="177">
        <f>AVERAGE(D55:INDEX(D55:K55,0,MATCH('RFPR cover'!$C$7,$D$6:$K$6,0)))/AVERAGE($D$65:INDEX($D$65:$K$65,0,MATCH('RFPR cover'!$C$7,$D$6:$K$6,0)))</f>
        <v>9.0237674819830451E-5</v>
      </c>
      <c r="N17" s="177">
        <f t="shared" si="3"/>
        <v>6.6268438719530861E-5</v>
      </c>
    </row>
    <row r="18" spans="2:16">
      <c r="B18" s="252" t="str">
        <f t="shared" si="2"/>
        <v xml:space="preserve">Network Innovation </v>
      </c>
      <c r="C18" s="254" t="s">
        <v>7</v>
      </c>
      <c r="D18" s="175">
        <f t="shared" si="1"/>
        <v>-2.8990738138744807E-3</v>
      </c>
      <c r="E18" s="176">
        <f t="shared" si="1"/>
        <v>-2.5296981969954129E-4</v>
      </c>
      <c r="F18" s="176">
        <f t="shared" si="1"/>
        <v>-1.5015227701114134E-3</v>
      </c>
      <c r="G18" s="176">
        <f t="shared" si="1"/>
        <v>-1.3547669104378873E-3</v>
      </c>
      <c r="H18" s="176">
        <f t="shared" si="1"/>
        <v>-2.4917096432337614E-4</v>
      </c>
      <c r="I18" s="176">
        <f t="shared" si="1"/>
        <v>-2.7115180046971614E-4</v>
      </c>
      <c r="J18" s="176">
        <f t="shared" si="1"/>
        <v>-6.2876329724914594E-4</v>
      </c>
      <c r="K18" s="177">
        <f t="shared" si="1"/>
        <v>-1.8891271609588206E-4</v>
      </c>
      <c r="L18" s="173"/>
      <c r="M18" s="177">
        <f>AVERAGE(D56:INDEX(D56:K56,0,MATCH('RFPR cover'!$C$7,$D$6:$K$6,0)))/AVERAGE($D$65:INDEX($D$65:$K$65,0,MATCH('RFPR cover'!$C$7,$D$6:$K$6,0)))</f>
        <v>-1.0561822732786468E-3</v>
      </c>
      <c r="N18" s="177">
        <f t="shared" si="3"/>
        <v>-8.8384123320429649E-4</v>
      </c>
    </row>
    <row r="19" spans="2:16">
      <c r="B19" s="252" t="str">
        <f>B57</f>
        <v>Penalties and fines</v>
      </c>
      <c r="C19" s="254" t="s">
        <v>7</v>
      </c>
      <c r="D19" s="185">
        <f t="shared" si="1"/>
        <v>-1.194501839361058E-5</v>
      </c>
      <c r="E19" s="186">
        <f t="shared" si="1"/>
        <v>-4.2271602070766939E-6</v>
      </c>
      <c r="F19" s="186">
        <f t="shared" si="1"/>
        <v>-1.9045806138238263E-5</v>
      </c>
      <c r="G19" s="186">
        <f t="shared" si="1"/>
        <v>-3.6863544341194843E-5</v>
      </c>
      <c r="H19" s="186">
        <f t="shared" si="1"/>
        <v>-5.5635274984369156E-5</v>
      </c>
      <c r="I19" s="186">
        <f t="shared" si="1"/>
        <v>-9.0116254845784818E-5</v>
      </c>
      <c r="J19" s="186">
        <f t="shared" si="1"/>
        <v>0</v>
      </c>
      <c r="K19" s="187">
        <f t="shared" si="1"/>
        <v>0</v>
      </c>
      <c r="L19" s="173"/>
      <c r="M19" s="187">
        <f>AVERAGE(D57:INDEX(D57:K57,0,MATCH('RFPR cover'!$C$7,$D$6:$K$6,0)))/AVERAGE($D$65:INDEX($D$65:$K$65,0,MATCH('RFPR cover'!$C$7,$D$6:$K$6,0)))</f>
        <v>-3.7616531133346804E-5</v>
      </c>
      <c r="N19" s="187">
        <f t="shared" si="3"/>
        <v>-2.7624701026801135E-5</v>
      </c>
    </row>
    <row r="20" spans="2:16">
      <c r="B20" s="253" t="str">
        <f>B58</f>
        <v>RoRE - Operational performance</v>
      </c>
      <c r="C20" s="254" t="s">
        <v>7</v>
      </c>
      <c r="D20" s="188">
        <f t="shared" ref="D20:K20" si="4">SUM(D10:D19)</f>
        <v>6.929955181964087E-2</v>
      </c>
      <c r="E20" s="189">
        <f t="shared" si="4"/>
        <v>6.647821599041992E-2</v>
      </c>
      <c r="F20" s="189">
        <f t="shared" si="4"/>
        <v>6.7143999332591658E-2</v>
      </c>
      <c r="G20" s="189">
        <f t="shared" si="4"/>
        <v>6.5821078542848702E-2</v>
      </c>
      <c r="H20" s="189">
        <f t="shared" si="4"/>
        <v>4.4477835154562342E-2</v>
      </c>
      <c r="I20" s="189">
        <f t="shared" si="4"/>
        <v>4.2182242827513421E-2</v>
      </c>
      <c r="J20" s="189">
        <f t="shared" si="4"/>
        <v>4.4118782075082588E-2</v>
      </c>
      <c r="K20" s="190">
        <f t="shared" si="4"/>
        <v>4.4030699839339812E-2</v>
      </c>
      <c r="L20" s="174"/>
      <c r="M20" s="190">
        <f>SUM(M10:M19)</f>
        <v>5.8760403120765393E-2</v>
      </c>
      <c r="N20" s="190">
        <f>SUM(N10:N19)</f>
        <v>5.4859469560322942E-2</v>
      </c>
    </row>
    <row r="21" spans="2:16">
      <c r="B21" s="252" t="str">
        <f>B59</f>
        <v>Debt performance - at notional gearing</v>
      </c>
      <c r="C21" s="254" t="s">
        <v>7</v>
      </c>
      <c r="D21" s="175">
        <f>(D59)/D$65</f>
        <v>-6.0853660618428078E-3</v>
      </c>
      <c r="E21" s="176">
        <f t="shared" ref="E21:K21" si="5">(E59)/E$65</f>
        <v>9.3424873012306411E-3</v>
      </c>
      <c r="F21" s="176">
        <f t="shared" si="5"/>
        <v>3.634044669398686E-2</v>
      </c>
      <c r="G21" s="176">
        <f t="shared" si="5"/>
        <v>2.8196100309135615E-2</v>
      </c>
      <c r="H21" s="176">
        <f t="shared" si="5"/>
        <v>2.0403879593905085E-2</v>
      </c>
      <c r="I21" s="176">
        <f t="shared" si="5"/>
        <v>3.1231522686916125E-3</v>
      </c>
      <c r="J21" s="176">
        <f t="shared" si="5"/>
        <v>2.2761989952263233E-2</v>
      </c>
      <c r="K21" s="177">
        <f t="shared" si="5"/>
        <v>2.8385432682036072E-2</v>
      </c>
      <c r="L21" s="173"/>
      <c r="M21" s="177">
        <f>AVERAGE(D59:INDEX(D59:K59,0,MATCH('RFPR cover'!$C$7,$D$6:$K$6,0)))/AVERAGE($D$65:INDEX($D$65:$K$65,0,MATCH('RFPR cover'!$C$7,$D$6:$K$6,0)))</f>
        <v>1.5446658710638271E-2</v>
      </c>
      <c r="N21" s="177">
        <f>AVERAGE(D59:K59)/AVERAGE($D$65:$K$65)</f>
        <v>1.8141642970636387E-2</v>
      </c>
    </row>
    <row r="22" spans="2:16">
      <c r="B22" s="252" t="str">
        <f>B61</f>
        <v>Tax performance - at notional gearing</v>
      </c>
      <c r="C22" s="254" t="s">
        <v>7</v>
      </c>
      <c r="D22" s="175">
        <f>(D61)/D$65</f>
        <v>-5.5960502678989244E-3</v>
      </c>
      <c r="E22" s="176">
        <f t="shared" ref="E22:K22" si="6">(E61)/E$65</f>
        <v>-4.0145761833848166E-3</v>
      </c>
      <c r="F22" s="176">
        <f t="shared" si="6"/>
        <v>3.233871555880609E-3</v>
      </c>
      <c r="G22" s="176">
        <f t="shared" si="6"/>
        <v>4.0608015922769195E-3</v>
      </c>
      <c r="H22" s="176">
        <f t="shared" si="6"/>
        <v>2.2151682425841025E-3</v>
      </c>
      <c r="I22" s="176">
        <f t="shared" si="6"/>
        <v>-3.9716961021139686E-3</v>
      </c>
      <c r="J22" s="176">
        <f t="shared" si="6"/>
        <v>2.6950648811063234E-3</v>
      </c>
      <c r="K22" s="177">
        <f t="shared" si="6"/>
        <v>9.6877512295737839E-4</v>
      </c>
      <c r="L22" s="173"/>
      <c r="M22" s="177">
        <f>AVERAGE(D61:INDEX(D61:K61,0,MATCH('RFPR cover'!$C$7,$D$6:$K$6,0)))/AVERAGE($D$65:INDEX($D$65:$K$65,0,MATCH('RFPR cover'!$C$7,$D$6:$K$6,0)))</f>
        <v>-5.9531854374522447E-4</v>
      </c>
      <c r="N22" s="177">
        <f>AVERAGE(D61:K61)/AVERAGE($D$65:$K$65)</f>
        <v>4.7877141347206816E-5</v>
      </c>
    </row>
    <row r="23" spans="2:16">
      <c r="B23" s="253" t="str">
        <f>B63</f>
        <v>RoRE - including financing and tax</v>
      </c>
      <c r="C23" s="254" t="s">
        <v>7</v>
      </c>
      <c r="D23" s="191">
        <f>SUM(D20:D22)</f>
        <v>5.7618135489899143E-2</v>
      </c>
      <c r="E23" s="192">
        <f t="shared" ref="E23:K23" si="7">SUM(E20:E22)</f>
        <v>7.1806127108265741E-2</v>
      </c>
      <c r="F23" s="192">
        <f t="shared" si="7"/>
        <v>0.10671831758245913</v>
      </c>
      <c r="G23" s="192">
        <f t="shared" si="7"/>
        <v>9.8077980444261248E-2</v>
      </c>
      <c r="H23" s="192">
        <f t="shared" si="7"/>
        <v>6.7096882991051543E-2</v>
      </c>
      <c r="I23" s="192">
        <f t="shared" si="7"/>
        <v>4.1333698994091068E-2</v>
      </c>
      <c r="J23" s="192">
        <f t="shared" si="7"/>
        <v>6.9575836908452149E-2</v>
      </c>
      <c r="K23" s="193">
        <f t="shared" si="7"/>
        <v>7.3384907644333253E-2</v>
      </c>
      <c r="L23" s="174"/>
      <c r="M23" s="193">
        <f>SUM(M20:M22)</f>
        <v>7.3611743287658432E-2</v>
      </c>
      <c r="N23" s="193">
        <f>SUM(N20:N22)</f>
        <v>7.3048989672306539E-2</v>
      </c>
    </row>
    <row r="26" spans="2:16" s="31" customFormat="1">
      <c r="B26" s="470"/>
      <c r="C26" s="366"/>
    </row>
    <row r="27" spans="2:16">
      <c r="B27" s="532" t="s">
        <v>215</v>
      </c>
      <c r="C27" s="424"/>
      <c r="D27" s="217"/>
      <c r="E27" s="217"/>
      <c r="F27" s="217"/>
      <c r="G27" s="217"/>
      <c r="H27" s="217"/>
      <c r="I27" s="217"/>
      <c r="J27" s="217"/>
      <c r="K27" s="217"/>
      <c r="L27" s="533"/>
      <c r="M27" s="217"/>
      <c r="N27" s="217"/>
      <c r="O27" s="217"/>
    </row>
    <row r="28" spans="2:16">
      <c r="B28" s="197"/>
      <c r="L28" s="49"/>
    </row>
    <row r="29" spans="2:16">
      <c r="B29" s="252" t="s">
        <v>214</v>
      </c>
      <c r="C29" s="254" t="s">
        <v>7</v>
      </c>
      <c r="D29" s="175">
        <f t="shared" ref="D29:K38" si="8">D48/D$66</f>
        <v>5.6780416631428153E-2</v>
      </c>
      <c r="E29" s="176">
        <f t="shared" si="8"/>
        <v>5.3563418156915628E-2</v>
      </c>
      <c r="F29" s="176">
        <f t="shared" si="8"/>
        <v>5.2973978183006795E-2</v>
      </c>
      <c r="G29" s="176">
        <f t="shared" si="8"/>
        <v>5.6210889875705834E-2</v>
      </c>
      <c r="H29" s="176">
        <f t="shared" si="8"/>
        <v>5.864224205050101E-2</v>
      </c>
      <c r="I29" s="176">
        <f t="shared" si="8"/>
        <v>5.9571197147585866E-2</v>
      </c>
      <c r="J29" s="176">
        <f t="shared" si="8"/>
        <v>6.0300326473952233E-2</v>
      </c>
      <c r="K29" s="177">
        <f t="shared" si="8"/>
        <v>6.0233421952290755E-2</v>
      </c>
      <c r="L29" s="173"/>
      <c r="M29" s="509">
        <f>AVERAGE(D48:INDEX(D48:K48,0,MATCH('RFPR cover'!$C$7,$D$6:$K$6,0)))/AVERAGE($D$66:INDEX($D$66:$K$66,0,MATCH('RFPR cover'!$C$7,$D$6:$K$6,0)))</f>
        <v>5.6259413200409274E-2</v>
      </c>
      <c r="N29" s="509">
        <f>AVERAGE(D48:K48)/AVERAGE($D$66:$K$66)</f>
        <v>5.7270914649078408E-2</v>
      </c>
      <c r="P29" s="322"/>
    </row>
    <row r="30" spans="2:16">
      <c r="B30" s="252" t="str">
        <f t="shared" ref="B30:B37" si="9">B49</f>
        <v>Totex outperformance</v>
      </c>
      <c r="C30" s="254" t="s">
        <v>7</v>
      </c>
      <c r="D30" s="175">
        <f t="shared" si="8"/>
        <v>1.1333736308543718E-3</v>
      </c>
      <c r="E30" s="176">
        <f t="shared" si="8"/>
        <v>5.9718226811513852E-4</v>
      </c>
      <c r="F30" s="176">
        <f t="shared" si="8"/>
        <v>5.9463753255091642E-4</v>
      </c>
      <c r="G30" s="176">
        <f t="shared" si="8"/>
        <v>9.677265315595412E-4</v>
      </c>
      <c r="H30" s="176">
        <f t="shared" si="8"/>
        <v>-2.0833013193899349E-2</v>
      </c>
      <c r="I30" s="176">
        <f t="shared" si="8"/>
        <v>-2.081983637062321E-2</v>
      </c>
      <c r="J30" s="176">
        <f t="shared" si="8"/>
        <v>-2.0825813152851959E-2</v>
      </c>
      <c r="K30" s="177">
        <f t="shared" si="8"/>
        <v>-2.0650937177156062E-2</v>
      </c>
      <c r="L30" s="173"/>
      <c r="M30" s="177">
        <f>AVERAGE(D49:INDEX(D49:K49,0,MATCH('RFPR cover'!$C$7,$D$6:$K$6,0)))/AVERAGE($D$66:INDEX($D$66:$K$66,0,MATCH('RFPR cover'!$C$7,$D$6:$K$6,0)))</f>
        <v>-6.4352563470400272E-3</v>
      </c>
      <c r="N30" s="177">
        <f t="shared" ref="N30:N38" si="10">AVERAGE(D49:K49)/AVERAGE($D$66:$K$66)</f>
        <v>-1.0045487318804846E-2</v>
      </c>
    </row>
    <row r="31" spans="2:16">
      <c r="B31" s="252" t="str">
        <f t="shared" si="9"/>
        <v>IQI Reward</v>
      </c>
      <c r="C31" s="254" t="s">
        <v>7</v>
      </c>
      <c r="D31" s="175">
        <f t="shared" si="8"/>
        <v>-3.7890431561232955E-3</v>
      </c>
      <c r="E31" s="176">
        <f t="shared" si="8"/>
        <v>-3.5595484047392005E-3</v>
      </c>
      <c r="F31" s="176">
        <f t="shared" si="8"/>
        <v>-3.0845031084060625E-3</v>
      </c>
      <c r="G31" s="176">
        <f t="shared" si="8"/>
        <v>-2.8730057568421884E-3</v>
      </c>
      <c r="H31" s="176">
        <f t="shared" si="8"/>
        <v>-2.8771884648665599E-3</v>
      </c>
      <c r="I31" s="176">
        <f t="shared" si="8"/>
        <v>-2.9006402122712391E-3</v>
      </c>
      <c r="J31" s="176">
        <f t="shared" si="8"/>
        <v>-2.6620866304610724E-3</v>
      </c>
      <c r="K31" s="177">
        <f t="shared" si="8"/>
        <v>-2.341293047579799E-3</v>
      </c>
      <c r="L31" s="173"/>
      <c r="M31" s="177">
        <f>AVERAGE(D50:INDEX(D50:K50,0,MATCH('RFPR cover'!$C$7,$D$6:$K$6,0)))/AVERAGE($D$66:INDEX($D$66:$K$66,0,MATCH('RFPR cover'!$C$7,$D$6:$K$6,0)))</f>
        <v>-3.1699404403637498E-3</v>
      </c>
      <c r="N31" s="177">
        <f t="shared" si="10"/>
        <v>-3.0009670773773894E-3</v>
      </c>
    </row>
    <row r="32" spans="2:16">
      <c r="B32" s="252" t="str">
        <f t="shared" si="9"/>
        <v>Broad measure of customer service</v>
      </c>
      <c r="C32" s="254" t="s">
        <v>7</v>
      </c>
      <c r="D32" s="175">
        <f t="shared" si="8"/>
        <v>4.4622011330759138E-3</v>
      </c>
      <c r="E32" s="176">
        <f t="shared" si="8"/>
        <v>4.3047572019184795E-3</v>
      </c>
      <c r="F32" s="176">
        <f t="shared" si="8"/>
        <v>3.6441552854974712E-3</v>
      </c>
      <c r="G32" s="176">
        <f t="shared" si="8"/>
        <v>5.4696696942785738E-3</v>
      </c>
      <c r="H32" s="176">
        <f t="shared" si="8"/>
        <v>5.7305754388513345E-3</v>
      </c>
      <c r="I32" s="176">
        <f t="shared" si="8"/>
        <v>4.4624055966327189E-3</v>
      </c>
      <c r="J32" s="176">
        <f t="shared" si="8"/>
        <v>4.458365297229169E-3</v>
      </c>
      <c r="K32" s="177">
        <f t="shared" si="8"/>
        <v>4.0686658840076665E-3</v>
      </c>
      <c r="L32" s="173"/>
      <c r="M32" s="177">
        <f>AVERAGE(D51:INDEX(D51:K51,0,MATCH('RFPR cover'!$C$7,$D$6:$K$6,0)))/AVERAGE($D$66:INDEX($D$66:$K$66,0,MATCH('RFPR cover'!$C$7,$D$6:$K$6,0)))</f>
        <v>4.6770698929009188E-3</v>
      </c>
      <c r="N32" s="177">
        <f t="shared" si="10"/>
        <v>4.5723238552765515E-3</v>
      </c>
    </row>
    <row r="33" spans="2:15">
      <c r="B33" s="252" t="str">
        <f t="shared" si="9"/>
        <v>Interruptions-related quality of service</v>
      </c>
      <c r="C33" s="254" t="s">
        <v>7</v>
      </c>
      <c r="D33" s="175">
        <f t="shared" si="8"/>
        <v>8.2973674378930325E-3</v>
      </c>
      <c r="E33" s="176">
        <f t="shared" si="8"/>
        <v>3.3760228748699675E-3</v>
      </c>
      <c r="F33" s="176">
        <f t="shared" si="8"/>
        <v>5.7411784608384468E-3</v>
      </c>
      <c r="G33" s="176">
        <f t="shared" si="8"/>
        <v>2.4187261340666041E-3</v>
      </c>
      <c r="H33" s="176">
        <f t="shared" si="8"/>
        <v>2.9709553852910772E-3</v>
      </c>
      <c r="I33" s="176">
        <f t="shared" si="8"/>
        <v>1.8068561855448971E-3</v>
      </c>
      <c r="J33" s="176">
        <f t="shared" si="8"/>
        <v>2.9139642465550127E-3</v>
      </c>
      <c r="K33" s="177">
        <f t="shared" si="8"/>
        <v>2.3637855535266037E-3</v>
      </c>
      <c r="L33" s="173"/>
      <c r="M33" s="177">
        <f>AVERAGE(D52:INDEX(D52:K52,0,MATCH('RFPR cover'!$C$7,$D$6:$K$6,0)))/AVERAGE($D$66:INDEX($D$66:$K$66,0,MATCH('RFPR cover'!$C$7,$D$6:$K$6,0)))</f>
        <v>4.0469196550173793E-3</v>
      </c>
      <c r="N33" s="177">
        <f t="shared" si="10"/>
        <v>3.6909975903703456E-3</v>
      </c>
    </row>
    <row r="34" spans="2:15">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row>
    <row r="35" spans="2:15">
      <c r="B35" s="252" t="str">
        <f t="shared" si="9"/>
        <v>Time to Connect Incentive</v>
      </c>
      <c r="C35" s="254" t="s">
        <v>7</v>
      </c>
      <c r="D35" s="175">
        <f t="shared" si="8"/>
        <v>1.4514557696812993E-3</v>
      </c>
      <c r="E35" s="176">
        <f t="shared" si="8"/>
        <v>7.8849649725127604E-4</v>
      </c>
      <c r="F35" s="176">
        <f t="shared" si="8"/>
        <v>7.544756856549033E-4</v>
      </c>
      <c r="G35" s="176">
        <f t="shared" si="8"/>
        <v>7.7409658312361466E-4</v>
      </c>
      <c r="H35" s="176">
        <f t="shared" si="8"/>
        <v>1.3567038879108324E-4</v>
      </c>
      <c r="I35" s="176">
        <f t="shared" si="8"/>
        <v>1.194822223220752E-4</v>
      </c>
      <c r="J35" s="176">
        <f t="shared" si="8"/>
        <v>7.8677034656985333E-4</v>
      </c>
      <c r="K35" s="177">
        <f t="shared" si="8"/>
        <v>7.1799986188370588E-4</v>
      </c>
      <c r="L35" s="173"/>
      <c r="M35" s="177">
        <f>AVERAGE(D54:INDEX(D54:K54,0,MATCH('RFPR cover'!$C$7,$D$6:$K$6,0)))/AVERAGE($D$66:INDEX($D$66:$K$66,0,MATCH('RFPR cover'!$C$7,$D$6:$K$6,0)))</f>
        <v>6.598866933321141E-4</v>
      </c>
      <c r="N35" s="177">
        <f t="shared" si="10"/>
        <v>6.8317217662407529E-4</v>
      </c>
    </row>
    <row r="36" spans="2:15">
      <c r="B36" s="252" t="str">
        <f t="shared" si="9"/>
        <v>Losses discretionary reward scheme</v>
      </c>
      <c r="C36" s="254" t="s">
        <v>7</v>
      </c>
      <c r="D36" s="175">
        <f t="shared" si="8"/>
        <v>0</v>
      </c>
      <c r="E36" s="176">
        <f t="shared" si="8"/>
        <v>5.0595191906956886E-4</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8.4611977232216826E-5</v>
      </c>
      <c r="N36" s="177">
        <f t="shared" si="10"/>
        <v>6.3254234963898925E-5</v>
      </c>
    </row>
    <row r="37" spans="2:15">
      <c r="B37" s="252" t="str">
        <f t="shared" si="9"/>
        <v xml:space="preserve">Network Innovation </v>
      </c>
      <c r="C37" s="254" t="s">
        <v>7</v>
      </c>
      <c r="D37" s="175">
        <f t="shared" si="8"/>
        <v>-2.7435103166176065E-3</v>
      </c>
      <c r="E37" s="176">
        <f t="shared" si="8"/>
        <v>-2.2583213722743474E-4</v>
      </c>
      <c r="F37" s="176">
        <f t="shared" si="8"/>
        <v>-1.3256939077528327E-3</v>
      </c>
      <c r="G37" s="176">
        <f t="shared" si="8"/>
        <v>-1.2692108934979054E-3</v>
      </c>
      <c r="H37" s="176">
        <f t="shared" si="8"/>
        <v>-2.4353240003013624E-4</v>
      </c>
      <c r="I37" s="176">
        <f t="shared" si="8"/>
        <v>-2.6921395604507213E-4</v>
      </c>
      <c r="J37" s="176">
        <f t="shared" si="8"/>
        <v>-6.3191053498270295E-4</v>
      </c>
      <c r="K37" s="177">
        <f t="shared" si="8"/>
        <v>-1.8964765567927621E-4</v>
      </c>
      <c r="L37" s="173"/>
      <c r="M37" s="177">
        <f>AVERAGE(D56:INDEX(D56:K56,0,MATCH('RFPR cover'!$C$7,$D$6:$K$6,0)))/AVERAGE($D$66:INDEX($D$66:$K$66,0,MATCH('RFPR cover'!$C$7,$D$6:$K$6,0)))</f>
        <v>-9.90336582122183E-4</v>
      </c>
      <c r="N37" s="177">
        <f t="shared" si="10"/>
        <v>-8.4363993050299137E-4</v>
      </c>
    </row>
    <row r="38" spans="2:15">
      <c r="B38" s="252" t="str">
        <f>B57</f>
        <v>Penalties and fines</v>
      </c>
      <c r="C38" s="254" t="s">
        <v>7</v>
      </c>
      <c r="D38" s="185">
        <f t="shared" si="8"/>
        <v>-1.1304052017654689E-5</v>
      </c>
      <c r="E38" s="186">
        <f t="shared" si="8"/>
        <v>-3.773685829798717E-6</v>
      </c>
      <c r="F38" s="186">
        <f t="shared" si="8"/>
        <v>-1.681553531408018E-5</v>
      </c>
      <c r="G38" s="186">
        <f t="shared" si="8"/>
        <v>-3.4535543856518381E-5</v>
      </c>
      <c r="H38" s="186">
        <f t="shared" si="8"/>
        <v>-5.4376287702992658E-5</v>
      </c>
      <c r="I38" s="186">
        <f t="shared" si="8"/>
        <v>-8.9472219727005633E-5</v>
      </c>
      <c r="J38" s="186">
        <f t="shared" si="8"/>
        <v>0</v>
      </c>
      <c r="K38" s="187">
        <f t="shared" si="8"/>
        <v>0</v>
      </c>
      <c r="L38" s="173"/>
      <c r="M38" s="187">
        <f>AVERAGE(D57:INDEX(D57:K57,0,MATCH('RFPR cover'!$C$7,$D$6:$K$6,0)))/AVERAGE($D$66:INDEX($D$66:$K$66,0,MATCH('RFPR cover'!$C$7,$D$6:$K$6,0)))</f>
        <v>-3.5271399469950298E-5</v>
      </c>
      <c r="N38" s="187">
        <f t="shared" si="10"/>
        <v>-2.6368198245203947E-5</v>
      </c>
    </row>
    <row r="39" spans="2:15">
      <c r="B39" s="253" t="str">
        <f>B58</f>
        <v>RoRE - Operational performance</v>
      </c>
      <c r="C39" s="254" t="s">
        <v>7</v>
      </c>
      <c r="D39" s="188">
        <f t="shared" ref="D39:K39" si="11">SUM(D29:D38)</f>
        <v>6.5580957078174199E-2</v>
      </c>
      <c r="E39" s="189">
        <f t="shared" si="11"/>
        <v>5.9346674690343618E-2</v>
      </c>
      <c r="F39" s="189">
        <f t="shared" si="11"/>
        <v>5.9281412596075556E-2</v>
      </c>
      <c r="G39" s="189">
        <f t="shared" si="11"/>
        <v>6.166435662453755E-2</v>
      </c>
      <c r="H39" s="189">
        <f t="shared" si="11"/>
        <v>4.347133291693546E-2</v>
      </c>
      <c r="I39" s="189">
        <f t="shared" si="11"/>
        <v>4.1880778393419027E-2</v>
      </c>
      <c r="J39" s="189">
        <f t="shared" si="11"/>
        <v>4.4339616046010534E-2</v>
      </c>
      <c r="K39" s="190">
        <f t="shared" si="11"/>
        <v>4.4201995371293601E-2</v>
      </c>
      <c r="L39" s="174"/>
      <c r="M39" s="190">
        <f>SUM(M29:M38)</f>
        <v>5.5097096649895982E-2</v>
      </c>
      <c r="N39" s="190">
        <f>SUM(N29:N38)</f>
        <v>5.2364199981382843E-2</v>
      </c>
    </row>
    <row r="40" spans="2:15">
      <c r="B40" s="252" t="s">
        <v>443</v>
      </c>
      <c r="C40" s="254" t="s">
        <v>7</v>
      </c>
      <c r="D40" s="175">
        <f>(D59+D60)/D$66</f>
        <v>-4.5293896259038062E-3</v>
      </c>
      <c r="E40" s="176">
        <f t="shared" ref="E40:K40" si="12">(E59+E60)/E$66</f>
        <v>9.8515074924385663E-3</v>
      </c>
      <c r="F40" s="176">
        <f t="shared" si="12"/>
        <v>3.1938833783359294E-2</v>
      </c>
      <c r="G40" s="176">
        <f t="shared" si="12"/>
        <v>2.6512559788209194E-2</v>
      </c>
      <c r="H40" s="176">
        <f t="shared" si="12"/>
        <v>2.0049129485000795E-2</v>
      </c>
      <c r="I40" s="176">
        <f t="shared" si="12"/>
        <v>3.1918547069129137E-3</v>
      </c>
      <c r="J40" s="176">
        <f t="shared" si="12"/>
        <v>2.2871591326320124E-2</v>
      </c>
      <c r="K40" s="177">
        <f t="shared" si="12"/>
        <v>2.8509001970302913E-2</v>
      </c>
      <c r="L40" s="173"/>
      <c r="M40" s="177">
        <f>(AVERAGE(D59:INDEX(D59:K59,0,MATCH('RFPR cover'!$C$7,$D$6:$K$6,0)))+AVERAGE(D60:INDEX(D60:K60,0,MATCH('RFPR cover'!$C$7,$D$6:$K$6,0))))/AVERAGE($D$66:INDEX($D$66:$K$66,0,MATCH('RFPR cover'!$C$7,$D$6:$K$6,0)))</f>
        <v>1.4948230613693297E-2</v>
      </c>
      <c r="N40" s="177">
        <f>(AVERAGE(D59:K59)+AVERAGE(D60:K60))/AVERAGE($D$66:$K$66)</f>
        <v>1.7664901659670877E-2</v>
      </c>
    </row>
    <row r="41" spans="2:15">
      <c r="B41" s="252" t="s">
        <v>444</v>
      </c>
      <c r="C41" s="254" t="s">
        <v>7</v>
      </c>
      <c r="D41" s="175">
        <f>(D61+D62)/D$66</f>
        <v>-5.2957677616952675E-3</v>
      </c>
      <c r="E41" s="176">
        <f t="shared" ref="E41:K41" si="13">(E61+E62)/E$66</f>
        <v>-3.5839070472239226E-3</v>
      </c>
      <c r="F41" s="176">
        <f t="shared" si="13"/>
        <v>2.8551840207977608E-3</v>
      </c>
      <c r="G41" s="176">
        <f t="shared" si="13"/>
        <v>3.8043545185094791E-3</v>
      </c>
      <c r="H41" s="176">
        <f t="shared" si="13"/>
        <v>2.1650405377366651E-3</v>
      </c>
      <c r="I41" s="176">
        <f t="shared" si="13"/>
        <v>-3.9433115251554926E-3</v>
      </c>
      <c r="J41" s="176">
        <f t="shared" si="13"/>
        <v>2.7085548699865769E-3</v>
      </c>
      <c r="K41" s="177">
        <f t="shared" si="13"/>
        <v>9.7254401263290361E-4</v>
      </c>
      <c r="L41" s="173"/>
      <c r="M41" s="177">
        <f>(AVERAGE(D61:INDEX(D61:K61,0,MATCH('RFPR cover'!$C$7,$D$6:$K$6,0)))+AVERAGE(D62:INDEX(D62:K62,0,MATCH('RFPR cover'!$C$7,$D$6:$K$6,0))))/AVERAGE($D$66:INDEX($D$66:$K$66,0,MATCH('RFPR cover'!$C$7,$D$6:$K$6,0)))</f>
        <v>-5.5820453230714202E-4</v>
      </c>
      <c r="N41" s="177">
        <f>(AVERAGE(D61:K61)+AVERAGE(D62:K62))/AVERAGE($D$66:$K$66)</f>
        <v>4.5699461262295948E-5</v>
      </c>
    </row>
    <row r="42" spans="2:15">
      <c r="B42" s="253" t="str">
        <f>B63</f>
        <v>RoRE - including financing and tax</v>
      </c>
      <c r="C42" s="254" t="s">
        <v>7</v>
      </c>
      <c r="D42" s="191">
        <f>SUM(D39:D41)</f>
        <v>5.575579969057512E-2</v>
      </c>
      <c r="E42" s="192">
        <f t="shared" ref="E42:K42" si="14">SUM(E39:E41)</f>
        <v>6.5614275135558273E-2</v>
      </c>
      <c r="F42" s="192">
        <f t="shared" si="14"/>
        <v>9.4075430400232612E-2</v>
      </c>
      <c r="G42" s="192">
        <f t="shared" si="14"/>
        <v>9.1981270931256229E-2</v>
      </c>
      <c r="H42" s="192">
        <f t="shared" si="14"/>
        <v>6.568550293967293E-2</v>
      </c>
      <c r="I42" s="192">
        <f t="shared" si="14"/>
        <v>4.1129321575176445E-2</v>
      </c>
      <c r="J42" s="192">
        <f t="shared" si="14"/>
        <v>6.9919762242317232E-2</v>
      </c>
      <c r="K42" s="193">
        <f t="shared" si="14"/>
        <v>7.3683541354229415E-2</v>
      </c>
      <c r="L42" s="174"/>
      <c r="M42" s="193">
        <f>SUM(M39:M41)</f>
        <v>6.9487122731282144E-2</v>
      </c>
      <c r="N42" s="193">
        <f>SUM(N39:N41)</f>
        <v>7.0074801102316023E-2</v>
      </c>
    </row>
    <row r="43" spans="2:15" s="31" customFormat="1">
      <c r="B43" s="471"/>
      <c r="C43" s="472"/>
      <c r="D43" s="473"/>
      <c r="E43" s="473"/>
      <c r="F43" s="473"/>
      <c r="G43" s="473"/>
      <c r="H43" s="473"/>
      <c r="I43" s="473"/>
      <c r="J43" s="473"/>
      <c r="K43" s="473"/>
      <c r="L43" s="474"/>
      <c r="M43" s="473"/>
      <c r="N43" s="473"/>
    </row>
    <row r="44" spans="2:15" s="31" customFormat="1">
      <c r="B44" s="471"/>
      <c r="C44" s="472"/>
      <c r="D44" s="473"/>
      <c r="E44" s="473"/>
      <c r="F44" s="473"/>
      <c r="G44" s="473"/>
      <c r="H44" s="473"/>
      <c r="I44" s="473"/>
      <c r="J44" s="473"/>
      <c r="K44" s="473"/>
      <c r="L44" s="474"/>
      <c r="M44" s="473"/>
      <c r="N44" s="473"/>
    </row>
    <row r="45" spans="2:15" s="31" customFormat="1">
      <c r="B45" s="526" t="s">
        <v>379</v>
      </c>
      <c r="C45" s="527"/>
      <c r="D45" s="528"/>
      <c r="E45" s="528"/>
      <c r="F45" s="528"/>
      <c r="G45" s="528"/>
      <c r="H45" s="528"/>
      <c r="I45" s="528"/>
      <c r="J45" s="528"/>
      <c r="K45" s="528"/>
      <c r="L45" s="529"/>
      <c r="M45" s="528"/>
      <c r="N45" s="528"/>
      <c r="O45" s="217"/>
    </row>
    <row r="46" spans="2:15" s="31" customFormat="1">
      <c r="B46" s="531" t="str">
        <f>"Input values provided in "&amp;'RFPR cover'!C14&amp;" prices"</f>
        <v>Input values provided in £m 12/13 prices</v>
      </c>
      <c r="C46" s="530"/>
      <c r="D46" s="530"/>
      <c r="E46" s="530"/>
      <c r="F46" s="530"/>
      <c r="G46" s="530"/>
      <c r="H46" s="530"/>
      <c r="I46" s="530"/>
      <c r="J46" s="530"/>
      <c r="K46" s="530"/>
      <c r="L46" s="530"/>
      <c r="M46" s="530"/>
      <c r="N46" s="530"/>
      <c r="O46" s="530"/>
    </row>
    <row r="48" spans="2:15">
      <c r="B48" s="247" t="s">
        <v>227</v>
      </c>
      <c r="C48" s="342" t="str">
        <f>'RFPR cover'!$C$14</f>
        <v>£m 12/13</v>
      </c>
      <c r="D48" s="178">
        <f>'R9 - RAV'!D50</f>
        <v>31.944645123387154</v>
      </c>
      <c r="E48" s="179">
        <f>'R9 - RAV'!E50</f>
        <v>33.014504585637034</v>
      </c>
      <c r="F48" s="179">
        <f>'R9 - RAV'!F50</f>
        <v>34.123503098173018</v>
      </c>
      <c r="G48" s="179">
        <f>'R9 - RAV'!G50</f>
        <v>35.290806179970666</v>
      </c>
      <c r="H48" s="179">
        <f>'R9 - RAV'!H50</f>
        <v>36.2142416908302</v>
      </c>
      <c r="I48" s="179">
        <f>'R9 - RAV'!I50</f>
        <v>36.764716561902986</v>
      </c>
      <c r="J48" s="179">
        <f>'R9 - RAV'!J50</f>
        <v>37.248428075750894</v>
      </c>
      <c r="K48" s="180">
        <f>'R9 - RAV'!K50</f>
        <v>37.750759181790805</v>
      </c>
      <c r="M48" s="95">
        <f>SUM(D48:INDEX(D48:K48,0,MATCH('RFPR cover'!$C$7,$D$6:$K$6,0)))</f>
        <v>207.35241723990106</v>
      </c>
      <c r="N48" s="95">
        <f>SUM(D48:K48)</f>
        <v>282.35160449744274</v>
      </c>
    </row>
    <row r="49" spans="2:14">
      <c r="B49" s="247" t="s">
        <v>102</v>
      </c>
      <c r="C49" s="342" t="str">
        <f>'RFPR cover'!$C$14</f>
        <v>£m 12/13</v>
      </c>
      <c r="D49" s="251">
        <f>'R4 - Totex'!D35+'R4 - Totex'!D63</f>
        <v>0.63763565992941285</v>
      </c>
      <c r="E49" s="251">
        <f>'R4 - Totex'!E35+'R4 - Totex'!E63</f>
        <v>0.36808100393053156</v>
      </c>
      <c r="F49" s="251">
        <f>'R4 - Totex'!F35+'R4 - Totex'!F63</f>
        <v>0.38303930307428224</v>
      </c>
      <c r="G49" s="251">
        <f>'R4 - Totex'!G35+'R4 - Totex'!G63</f>
        <v>0.60756642593632648</v>
      </c>
      <c r="H49" s="251">
        <f>'R4 - Totex'!H35+'R4 - Totex'!H63</f>
        <v>-12.865329642451481</v>
      </c>
      <c r="I49" s="251">
        <f>'R4 - Totex'!I35+'R4 - Totex'!I63</f>
        <v>-12.849085123047267</v>
      </c>
      <c r="J49" s="251">
        <f>'R4 - Totex'!J35+'R4 - Totex'!J63</f>
        <v>-12.864421284321281</v>
      </c>
      <c r="K49" s="251">
        <f>'R4 - Totex'!K35+'R4 - Totex'!K63</f>
        <v>-12.942790414109297</v>
      </c>
      <c r="M49" s="95">
        <f>SUM(D49:INDEX(D49:K49,0,MATCH('RFPR cover'!$C$7,$D$6:$K$6,0)))</f>
        <v>-23.718092372628195</v>
      </c>
      <c r="N49" s="95">
        <f>SUM(D49:K49)</f>
        <v>-49.52530407105877</v>
      </c>
    </row>
    <row r="50" spans="2:14">
      <c r="B50" s="249" t="s">
        <v>110</v>
      </c>
      <c r="C50" s="342" t="str">
        <f>'RFPR cover'!$C$14</f>
        <v>£m 12/13</v>
      </c>
      <c r="D50" s="242">
        <f>'R4 - Totex'!D79</f>
        <v>-2.1317145269512103</v>
      </c>
      <c r="E50" s="181">
        <f>'R4 - Totex'!E79</f>
        <v>-2.193973633026753</v>
      </c>
      <c r="F50" s="181">
        <f>'R4 - Totex'!F79</f>
        <v>-1.9869010217130036</v>
      </c>
      <c r="G50" s="181">
        <f>'R4 - Totex'!G79</f>
        <v>-1.8037552784318813</v>
      </c>
      <c r="H50" s="181">
        <f>'R4 - Totex'!H79</f>
        <v>-1.7767942495618843</v>
      </c>
      <c r="I50" s="181">
        <f>'R4 - Totex'!I79</f>
        <v>-1.7901472583807538</v>
      </c>
      <c r="J50" s="181">
        <f>'R4 - Totex'!J79</f>
        <v>-1.6444113686346382</v>
      </c>
      <c r="K50" s="182">
        <f>'R4 - Totex'!K79</f>
        <v>-1.467384504290556</v>
      </c>
      <c r="M50" s="95">
        <f>SUM(D50:INDEX(D50:K50,0,MATCH('RFPR cover'!$C$7,$D$6:$K$6,0)))</f>
        <v>-11.683285968065487</v>
      </c>
      <c r="N50" s="95">
        <f t="shared" ref="N50:N57" si="15">SUM(D50:K50)</f>
        <v>-14.795081840990683</v>
      </c>
    </row>
    <row r="51" spans="2:14">
      <c r="B51" s="250" t="str">
        <f>'R5 - Output Incentives'!B39</f>
        <v>Broad measure of customer service</v>
      </c>
      <c r="C51" s="342" t="str">
        <f>'RFPR cover'!$C$14</f>
        <v>£m 12/13</v>
      </c>
      <c r="D51" s="242">
        <f>'R5 - Output Incentives'!D39</f>
        <v>2.5104330000000008</v>
      </c>
      <c r="E51" s="181">
        <f>'R5 - Output Incentives'!E39</f>
        <v>2.6532927000000002</v>
      </c>
      <c r="F51" s="181">
        <f>'R5 - Output Incentives'!F39</f>
        <v>2.3474043000000036</v>
      </c>
      <c r="G51" s="181">
        <f>'R5 - Output Incentives'!G39</f>
        <v>3.4340152500000021</v>
      </c>
      <c r="H51" s="181">
        <f>'R5 - Output Incentives'!H39</f>
        <v>3.5388900000000008</v>
      </c>
      <c r="I51" s="181">
        <f>'R5 - Output Incentives'!I39</f>
        <v>2.7540000000000004</v>
      </c>
      <c r="J51" s="181">
        <f>'R5 - Output Incentives'!J39</f>
        <v>2.754</v>
      </c>
      <c r="K51" s="182">
        <f>'R5 - Output Incentives'!K39</f>
        <v>2.5499999999999998</v>
      </c>
      <c r="M51" s="95">
        <f>SUM(D51:INDEX(D51:K51,0,MATCH('RFPR cover'!$C$7,$D$6:$K$6,0)))</f>
        <v>17.238035250000006</v>
      </c>
      <c r="N51" s="95">
        <f t="shared" si="15"/>
        <v>22.542035250000009</v>
      </c>
    </row>
    <row r="52" spans="2:14">
      <c r="B52" s="250" t="str">
        <f>'R5 - Output Incentives'!B40</f>
        <v>Interruptions-related quality of service</v>
      </c>
      <c r="C52" s="342" t="str">
        <f>'RFPR cover'!$C$14</f>
        <v>£m 12/13</v>
      </c>
      <c r="D52" s="242">
        <f>'R5 - Output Incentives'!D40</f>
        <v>4.6680963963750033</v>
      </c>
      <c r="E52" s="181">
        <f>'R5 - Output Incentives'!E40</f>
        <v>2.0808553023463019</v>
      </c>
      <c r="F52" s="181">
        <f>'R5 - Output Incentives'!F40</f>
        <v>3.6982142500000017</v>
      </c>
      <c r="G52" s="181">
        <f>'R5 - Output Incentives'!G40</f>
        <v>1.518545523625771</v>
      </c>
      <c r="H52" s="181">
        <f>'R5 - Output Incentives'!H40</f>
        <v>1.8346995717344921</v>
      </c>
      <c r="I52" s="181">
        <f>'R5 - Output Incentives'!I40</f>
        <v>1.1151119787823731</v>
      </c>
      <c r="J52" s="181">
        <f>'R5 - Output Incentives'!J40</f>
        <v>1.8000000000000003</v>
      </c>
      <c r="K52" s="182">
        <f>'R5 - Output Incentives'!K40</f>
        <v>1.4814814814814814</v>
      </c>
      <c r="M52" s="95">
        <f>SUM(D52:INDEX(D52:K52,0,MATCH('RFPR cover'!$C$7,$D$6:$K$6,0)))</f>
        <v>14.915523022863942</v>
      </c>
      <c r="N52" s="95">
        <f t="shared" si="15"/>
        <v>18.197004504345422</v>
      </c>
    </row>
    <row r="53" spans="2:14">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row>
    <row r="54" spans="2:14">
      <c r="B54" s="250" t="str">
        <f>'R5 - Output Incentives'!B42</f>
        <v>Time to Connect Incentive</v>
      </c>
      <c r="C54" s="342" t="str">
        <f>'RFPR cover'!$C$14</f>
        <v>£m 12/13</v>
      </c>
      <c r="D54" s="242">
        <f>'R5 - Output Incentives'!D42</f>
        <v>0.81658857446808519</v>
      </c>
      <c r="E54" s="181">
        <f>'R5 - Output Incentives'!E42</f>
        <v>0.48599999999999999</v>
      </c>
      <c r="F54" s="181">
        <f>'R5 - Output Incentives'!F42</f>
        <v>0.48599999999999999</v>
      </c>
      <c r="G54" s="181">
        <f>'R5 - Output Incentives'!G42</f>
        <v>0.48599999999999999</v>
      </c>
      <c r="H54" s="181">
        <f>'R5 - Output Incentives'!H42</f>
        <v>8.3782612638481357E-2</v>
      </c>
      <c r="I54" s="181">
        <f>'R5 - Output Incentives'!I42</f>
        <v>7.3739159999999915E-2</v>
      </c>
      <c r="J54" s="181">
        <f>'R5 - Output Incentives'!J42</f>
        <v>0.48599999999999999</v>
      </c>
      <c r="K54" s="182">
        <f>'R5 - Output Incentives'!K42</f>
        <v>0.44999999999999996</v>
      </c>
      <c r="M54" s="95">
        <f>SUM(D54:INDEX(D54:K54,0,MATCH('RFPR cover'!$C$7,$D$6:$K$6,0)))</f>
        <v>2.4321103471065664</v>
      </c>
      <c r="N54" s="95">
        <f t="shared" si="15"/>
        <v>3.3681103471065663</v>
      </c>
    </row>
    <row r="55" spans="2:14">
      <c r="B55" s="250" t="str">
        <f>'R5 - Output Incentives'!B43</f>
        <v>Losses discretionary reward scheme</v>
      </c>
      <c r="C55" s="342" t="str">
        <f>'RFPR cover'!$C$14</f>
        <v>£m 12/13</v>
      </c>
      <c r="D55" s="242">
        <f>'R5 - Output Incentives'!D43</f>
        <v>0</v>
      </c>
      <c r="E55" s="181">
        <f>'R5 - Output Incentives'!E43</f>
        <v>0.31185000000000002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0.31185000000000002</v>
      </c>
      <c r="N55" s="95">
        <f t="shared" si="15"/>
        <v>0.31185000000000002</v>
      </c>
    </row>
    <row r="56" spans="2:14">
      <c r="B56" s="247" t="s">
        <v>485</v>
      </c>
      <c r="C56" s="342" t="str">
        <f>'RFPR cover'!$C$14</f>
        <v>£m 12/13</v>
      </c>
      <c r="D56" s="242">
        <f>-'R6 - Innovation'!D28</f>
        <v>-1.5434980695120804</v>
      </c>
      <c r="E56" s="181">
        <f>-'R6 - Innovation'!E28</f>
        <v>-0.13919455454163801</v>
      </c>
      <c r="F56" s="181">
        <f>-'R6 - Innovation'!F28</f>
        <v>-0.85395361496456923</v>
      </c>
      <c r="G56" s="181">
        <f>-'R6 - Innovation'!G28</f>
        <v>-0.79684694092168606</v>
      </c>
      <c r="H56" s="181">
        <f>-'R6 - Innovation'!H28</f>
        <v>-0.15039229207239954</v>
      </c>
      <c r="I56" s="181">
        <f>-'R6 - Innovation'!I28</f>
        <v>-0.16614698482531312</v>
      </c>
      <c r="J56" s="181">
        <f>-'R6 - Innovation'!J28</f>
        <v>-0.39034074090427995</v>
      </c>
      <c r="K56" s="182">
        <f>-'R6 - Innovation'!K28</f>
        <v>-0.11885997419522765</v>
      </c>
      <c r="M56" s="95">
        <f>SUM(D56:INDEX(D56:K56,0,MATCH('RFPR cover'!$C$7,$D$6:$K$6,0)))</f>
        <v>-3.6500324568376867</v>
      </c>
      <c r="N56" s="95">
        <f t="shared" si="15"/>
        <v>-4.1592331719371938</v>
      </c>
    </row>
    <row r="57" spans="2:14">
      <c r="B57" s="247" t="s">
        <v>35</v>
      </c>
      <c r="C57" s="342" t="str">
        <f>'RFPR cover'!$C$14</f>
        <v>£m 12/13</v>
      </c>
      <c r="D57" s="243">
        <f>-'R13 - Other Activities '!D8</f>
        <v>-6.3596562262703679E-3</v>
      </c>
      <c r="E57" s="243">
        <f>-'R13 - Other Activities '!E8</f>
        <v>-2.3259600006792654E-3</v>
      </c>
      <c r="F57" s="243">
        <f>-'R13 - Other Activities '!F8</f>
        <v>-1.0831827079422936E-2</v>
      </c>
      <c r="G57" s="243">
        <f>-'R13 - Other Activities '!G8</f>
        <v>-2.1682403307531031E-2</v>
      </c>
      <c r="H57" s="243">
        <f>-'R13 - Other Activities '!H8</f>
        <v>-3.3579821580329065E-2</v>
      </c>
      <c r="I57" s="243">
        <f>-'R13 - Other Activities '!I8</f>
        <v>-5.5218309450424927E-2</v>
      </c>
      <c r="J57" s="243">
        <f>-'R13 - Other Activities '!J8</f>
        <v>0</v>
      </c>
      <c r="K57" s="243">
        <f>-'R13 - Other Activities '!K8</f>
        <v>0</v>
      </c>
      <c r="M57" s="95">
        <f>SUM(D57:INDEX(D57:K57,0,MATCH('RFPR cover'!$C$7,$D$6:$K$6,0)))</f>
        <v>-0.12999797764465759</v>
      </c>
      <c r="N57" s="95">
        <f t="shared" si="15"/>
        <v>-0.12999797764465759</v>
      </c>
    </row>
    <row r="58" spans="2:14">
      <c r="B58" s="248" t="s">
        <v>103</v>
      </c>
      <c r="C58" s="342" t="str">
        <f>'RFPR cover'!$C$14</f>
        <v>£m 12/13</v>
      </c>
      <c r="D58" s="244">
        <f t="shared" ref="D58:K58" si="16">SUM(D48:D57)</f>
        <v>36.895826501470097</v>
      </c>
      <c r="E58" s="143">
        <f t="shared" si="16"/>
        <v>36.579089444344788</v>
      </c>
      <c r="F58" s="143">
        <f t="shared" si="16"/>
        <v>38.186474487490308</v>
      </c>
      <c r="G58" s="143">
        <f t="shared" si="16"/>
        <v>38.714648756871661</v>
      </c>
      <c r="H58" s="143">
        <f t="shared" si="16"/>
        <v>26.84551786953708</v>
      </c>
      <c r="I58" s="143">
        <f t="shared" si="16"/>
        <v>25.846970024981601</v>
      </c>
      <c r="J58" s="143">
        <f t="shared" si="16"/>
        <v>27.389254681890698</v>
      </c>
      <c r="K58" s="144">
        <f t="shared" si="16"/>
        <v>27.703205770677204</v>
      </c>
      <c r="M58" s="142">
        <f>SUM(M48:M57)</f>
        <v>203.06852708469552</v>
      </c>
      <c r="N58" s="144">
        <f>SUM(N48:N57)</f>
        <v>258.16098753726334</v>
      </c>
    </row>
    <row r="59" spans="2:14">
      <c r="B59" s="247" t="s">
        <v>424</v>
      </c>
      <c r="C59" s="342" t="str">
        <f>'RFPR cover'!$C$14</f>
        <v>£m 12/13</v>
      </c>
      <c r="D59" s="242">
        <f>'R7 - Financing'!D88+'R10 - Tax'!D88</f>
        <v>-3.2399143215245423</v>
      </c>
      <c r="E59" s="242">
        <f>'R7 - Financing'!E88+'R10 - Tax'!E88</f>
        <v>5.1406264974622466</v>
      </c>
      <c r="F59" s="242">
        <f>'R7 - Financing'!F88+'R10 - Tax'!F88</f>
        <v>20.667722422520868</v>
      </c>
      <c r="G59" s="242">
        <f>'R7 - Financing'!G88+'R10 - Tax'!G88</f>
        <v>16.584385184011936</v>
      </c>
      <c r="H59" s="242">
        <f>'R7 - Financing'!H88+'R10 - Tax'!H88</f>
        <v>12.315183784071284</v>
      </c>
      <c r="I59" s="242">
        <f>'R7 - Financing'!I88+'R10 - Tax'!I88</f>
        <v>1.9136967989685236</v>
      </c>
      <c r="J59" s="242">
        <f>'R7 - Financing'!J88+'R10 - Tax'!J88</f>
        <v>14.130805759964028</v>
      </c>
      <c r="K59" s="242">
        <f>'R7 - Financing'!K88+'R10 - Tax'!K88</f>
        <v>17.859527224174634</v>
      </c>
      <c r="M59" s="95">
        <f>SUM(D59:INDEX(D59:K59,0,MATCH('RFPR cover'!$C$7,$D$6:$K$6,0)))</f>
        <v>53.381700365510319</v>
      </c>
      <c r="N59" s="95">
        <f>SUM(D59:K59)</f>
        <v>85.372033349648973</v>
      </c>
    </row>
    <row r="60" spans="2:14">
      <c r="B60" s="247" t="s">
        <v>419</v>
      </c>
      <c r="C60" s="342" t="str">
        <f>'RFPR cover'!$C$14</f>
        <v>£m 12/13</v>
      </c>
      <c r="D60" s="242">
        <f>'R7 - Financing'!D90+'R10 - Tax'!D89</f>
        <v>0.69168109589931603</v>
      </c>
      <c r="E60" s="242">
        <f>'R7 - Financing'!E90+'R10 - Tax'!E89</f>
        <v>0.93147738380505163</v>
      </c>
      <c r="F60" s="242">
        <f>'R7 - Financing'!F90+'R10 - Tax'!F89</f>
        <v>-9.4132691476182195E-2</v>
      </c>
      <c r="G60" s="242">
        <f>'R7 - Financing'!G90+'R10 - Tax'!G89</f>
        <v>6.0958999107987744E-2</v>
      </c>
      <c r="H60" s="242">
        <f>'R7 - Financing'!H90+'R10 - Tax'!H89</f>
        <v>6.6062148430809042E-2</v>
      </c>
      <c r="I60" s="242">
        <f>'R7 - Financing'!I90+'R10 - Tax'!I89</f>
        <v>5.6175206720802007E-2</v>
      </c>
      <c r="J60" s="242">
        <f>'R7 - Financing'!J90+'R10 - Tax'!J89</f>
        <v>-2.6762072258788017E-3</v>
      </c>
      <c r="K60" s="242">
        <f>'R7 - Financing'!K90+'R10 - Tax'!K89</f>
        <v>8.2351079499174418E-3</v>
      </c>
      <c r="M60" s="95">
        <f>SUM(D60:INDEX(D60:K60,0,MATCH('RFPR cover'!$C$7,$D$6:$K$6,0)))</f>
        <v>1.7122221424877844</v>
      </c>
      <c r="N60" s="95">
        <f>SUM(D60:K60)</f>
        <v>1.717781043211823</v>
      </c>
    </row>
    <row r="61" spans="2:14">
      <c r="B61" s="247" t="s">
        <v>425</v>
      </c>
      <c r="C61" s="342" t="str">
        <f>'RFPR cover'!$C$14</f>
        <v>£m 12/13</v>
      </c>
      <c r="D61" s="242">
        <f>'R10 - Tax'!D81-'R10 - Tax'!D88</f>
        <v>-2.9793973316777791</v>
      </c>
      <c r="E61" s="242">
        <f>'R10 - Tax'!E81-'R10 - Tax'!E88</f>
        <v>-2.2089873969291212</v>
      </c>
      <c r="F61" s="242">
        <f>'R10 - Tax'!F81-'R10 - Tax'!F88</f>
        <v>1.8391837676030929</v>
      </c>
      <c r="G61" s="242">
        <f>'R10 - Tax'!G81-'R10 - Tax'!G88</f>
        <v>2.3884826988060173</v>
      </c>
      <c r="H61" s="242">
        <f>'R10 - Tax'!H81-'R10 - Tax'!H88</f>
        <v>1.3370106353798712</v>
      </c>
      <c r="I61" s="242">
        <f>'R10 - Tax'!I81-'R10 - Tax'!I88</f>
        <v>-2.433638024403916</v>
      </c>
      <c r="J61" s="242">
        <f>'R10 - Tax'!J81-'R10 - Tax'!J88</f>
        <v>1.6731155063895171</v>
      </c>
      <c r="K61" s="242">
        <f>'R10 - Tax'!K81-'R10 - Tax'!K88</f>
        <v>0.60953327280122949</v>
      </c>
      <c r="M61" s="95">
        <f>SUM(D61:INDEX(D61:K61,0,MATCH('RFPR cover'!$C$7,$D$6:$K$6,0)))</f>
        <v>-2.0573456512218349</v>
      </c>
      <c r="N61" s="95">
        <f>SUM(D61:K61)</f>
        <v>0.22530312796891172</v>
      </c>
    </row>
    <row r="62" spans="2:14">
      <c r="B62" s="247" t="s">
        <v>420</v>
      </c>
      <c r="C62" s="342" t="str">
        <f>'RFPR cover'!$C$14</f>
        <v>£m 12/13</v>
      </c>
      <c r="D62" s="242">
        <f>'R10 - Tax'!D83-'R10 - Tax'!D89</f>
        <v>0</v>
      </c>
      <c r="E62" s="242">
        <f>'R10 - Tax'!E83-'R10 - Tax'!E89</f>
        <v>2.2204460492503131E-16</v>
      </c>
      <c r="F62" s="242">
        <f>'R10 - Tax'!F83-'R10 - Tax'!F89</f>
        <v>0</v>
      </c>
      <c r="G62" s="242">
        <f>'R10 - Tax'!G83-'R10 - Tax'!G89</f>
        <v>-8.8817841970012523E-16</v>
      </c>
      <c r="H62" s="242">
        <f>'R10 - Tax'!H83-'R10 - Tax'!H89</f>
        <v>4.4408920985006262E-16</v>
      </c>
      <c r="I62" s="242">
        <f>'R10 - Tax'!I83-'R10 - Tax'!I89</f>
        <v>-1.1102230246251565E-16</v>
      </c>
      <c r="J62" s="242">
        <f>'R10 - Tax'!J83-'R10 - Tax'!J89</f>
        <v>4.4408920985006262E-16</v>
      </c>
      <c r="K62" s="242">
        <f>'R10 - Tax'!K83-'R10 - Tax'!K89</f>
        <v>8.8817841970012523E-16</v>
      </c>
      <c r="M62" s="95">
        <f>SUM(D62:INDEX(D62:K62,0,MATCH('RFPR cover'!$C$7,$D$6:$K$6,0)))</f>
        <v>-3.3306690738754696E-16</v>
      </c>
      <c r="N62" s="95">
        <f>SUM(D62:K62)</f>
        <v>9.9920072216264089E-16</v>
      </c>
    </row>
    <row r="63" spans="2:14">
      <c r="B63" s="248" t="s">
        <v>104</v>
      </c>
      <c r="C63" s="342" t="str">
        <f>'RFPR cover'!$C$14</f>
        <v>£m 12/13</v>
      </c>
      <c r="D63" s="245">
        <f>SUM(D58:D62)</f>
        <v>31.368195944167091</v>
      </c>
      <c r="E63" s="146">
        <f t="shared" ref="E63:K63" si="17">SUM(E58:E62)</f>
        <v>40.442205928682966</v>
      </c>
      <c r="F63" s="146">
        <f t="shared" si="17"/>
        <v>60.599247986138089</v>
      </c>
      <c r="G63" s="146">
        <f t="shared" si="17"/>
        <v>57.748475638797601</v>
      </c>
      <c r="H63" s="146">
        <f t="shared" si="17"/>
        <v>40.563774437419042</v>
      </c>
      <c r="I63" s="146">
        <f t="shared" si="17"/>
        <v>25.383204006267011</v>
      </c>
      <c r="J63" s="146">
        <f t="shared" si="17"/>
        <v>43.190499741018357</v>
      </c>
      <c r="K63" s="147">
        <f t="shared" si="17"/>
        <v>46.180501375602987</v>
      </c>
      <c r="M63" s="145">
        <f>SUM(M58:M62)</f>
        <v>256.10510394147178</v>
      </c>
      <c r="N63" s="147">
        <f>SUM(N58:N62)</f>
        <v>345.47610505809303</v>
      </c>
    </row>
    <row r="64" spans="2:14">
      <c r="B64" s="247"/>
      <c r="D64" s="421"/>
    </row>
    <row r="65" spans="2:11">
      <c r="B65" s="247" t="s">
        <v>231</v>
      </c>
      <c r="C65" s="342" t="str">
        <f>'RFPR cover'!$C$14</f>
        <v>£m 12/13</v>
      </c>
      <c r="D65" s="241">
        <f>'R9 - RAV'!D46</f>
        <v>532.41075205645257</v>
      </c>
      <c r="E65" s="179">
        <f>'R9 - RAV'!E46</f>
        <v>550.24174309395062</v>
      </c>
      <c r="F65" s="179">
        <f>'R9 - RAV'!F46</f>
        <v>568.72505163621702</v>
      </c>
      <c r="G65" s="179">
        <f>'R9 - RAV'!G46</f>
        <v>588.18010299951118</v>
      </c>
      <c r="H65" s="179">
        <f>'R9 - RAV'!H46</f>
        <v>603.57069484716999</v>
      </c>
      <c r="I65" s="179">
        <f>'R9 - RAV'!I46</f>
        <v>612.74527603171646</v>
      </c>
      <c r="J65" s="179">
        <f>'R9 - RAV'!J46</f>
        <v>620.80713459584831</v>
      </c>
      <c r="K65" s="180">
        <f>'R9 - RAV'!K46</f>
        <v>629.1793196965134</v>
      </c>
    </row>
    <row r="66" spans="2:11">
      <c r="B66" s="247" t="s">
        <v>107</v>
      </c>
      <c r="C66" s="342" t="str">
        <f>'RFPR cover'!$C$14</f>
        <v>£m 12/13</v>
      </c>
      <c r="D66" s="246">
        <f>'R8 - Net Debt'!D62</f>
        <v>562.59969578500215</v>
      </c>
      <c r="E66" s="183">
        <f>'R8 - Net Debt'!E62</f>
        <v>616.36291561752205</v>
      </c>
      <c r="F66" s="183">
        <f>'R8 - Net Debt'!F62</f>
        <v>644.15594728959377</v>
      </c>
      <c r="G66" s="183">
        <f>'R8 - Net Debt'!G62</f>
        <v>627.82863352645904</v>
      </c>
      <c r="H66" s="183">
        <f>'R8 - Net Debt'!H62</f>
        <v>617.54531246679721</v>
      </c>
      <c r="I66" s="183">
        <f>'R8 - Net Debt'!I62</f>
        <v>617.15591296276114</v>
      </c>
      <c r="J66" s="183">
        <f>'R8 - Net Debt'!J62</f>
        <v>617.71519747643481</v>
      </c>
      <c r="K66" s="184">
        <f>'R8 - Net Debt'!K62</f>
        <v>626.7410676367042</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2" s="31" customFormat="1" ht="20.25">
      <c r="A1" s="926" t="s">
        <v>119</v>
      </c>
      <c r="B1" s="927"/>
      <c r="C1" s="275"/>
      <c r="D1" s="274"/>
      <c r="E1" s="274"/>
      <c r="F1" s="274"/>
      <c r="G1" s="274"/>
      <c r="H1" s="274"/>
      <c r="I1" s="274"/>
      <c r="J1" s="274"/>
      <c r="K1" s="274"/>
      <c r="L1" s="276"/>
    </row>
    <row r="2" spans="1:12" s="31" customFormat="1" ht="20.25">
      <c r="A2" s="915" t="str">
        <f>'RFPR cover'!C5</f>
        <v>SPMW</v>
      </c>
      <c r="B2" s="928"/>
      <c r="C2" s="134"/>
      <c r="D2" s="29"/>
      <c r="E2" s="29"/>
      <c r="F2" s="29"/>
      <c r="G2" s="29"/>
      <c r="H2" s="29"/>
      <c r="I2" s="27"/>
      <c r="J2" s="27"/>
      <c r="K2" s="27"/>
      <c r="L2" s="123"/>
    </row>
    <row r="3" spans="1:12" s="31" customFormat="1" ht="20.25">
      <c r="A3" s="918">
        <f>'RFPR cover'!C7</f>
        <v>2021</v>
      </c>
      <c r="B3" s="929"/>
      <c r="C3" s="277"/>
      <c r="D3" s="260"/>
      <c r="E3" s="260"/>
      <c r="F3" s="260"/>
      <c r="G3" s="260"/>
      <c r="H3" s="260"/>
      <c r="I3" s="255"/>
      <c r="J3" s="255"/>
      <c r="K3" s="255"/>
      <c r="L3" s="261"/>
    </row>
    <row r="4" spans="1:12" s="35" customFormat="1" ht="12.75" customHeight="1">
      <c r="B4" s="225"/>
      <c r="C4" s="138"/>
      <c r="L4" s="58"/>
    </row>
    <row r="5" spans="1:12" s="2" customFormat="1">
      <c r="B5" s="129"/>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69"/>
      <c r="C7" s="152"/>
      <c r="D7" s="50"/>
      <c r="E7" s="50"/>
      <c r="F7" s="50"/>
      <c r="G7" s="50"/>
      <c r="H7" s="50"/>
      <c r="I7" s="50"/>
      <c r="J7" s="50"/>
      <c r="K7" s="50"/>
      <c r="L7" s="58"/>
    </row>
    <row r="8" spans="1:12" s="2" customFormat="1">
      <c r="B8" s="770" t="s">
        <v>154</v>
      </c>
      <c r="C8" s="150"/>
      <c r="D8" s="81"/>
      <c r="E8" s="81"/>
      <c r="F8" s="81"/>
      <c r="G8" s="81"/>
      <c r="H8" s="81"/>
      <c r="I8" s="81"/>
      <c r="J8" s="81"/>
      <c r="K8" s="81"/>
      <c r="L8" s="272"/>
    </row>
    <row r="9" spans="1:12" s="35" customFormat="1">
      <c r="A9" s="2"/>
      <c r="B9" s="771"/>
      <c r="C9" s="138"/>
      <c r="L9" s="58"/>
    </row>
    <row r="10" spans="1:12" s="2" customFormat="1">
      <c r="B10" s="772" t="s">
        <v>372</v>
      </c>
      <c r="C10" s="151" t="str">
        <f>'RFPR cover'!$C$14</f>
        <v>£m 12/13</v>
      </c>
      <c r="D10" s="596">
        <v>304.60000000000002</v>
      </c>
      <c r="E10" s="597">
        <v>310.89999999999998</v>
      </c>
      <c r="F10" s="597">
        <v>310.89999999999998</v>
      </c>
      <c r="G10" s="597">
        <v>310.89999999999998</v>
      </c>
      <c r="H10" s="597">
        <v>310.89999999999998</v>
      </c>
      <c r="I10" s="597">
        <v>310.89999999999998</v>
      </c>
      <c r="J10" s="597"/>
      <c r="K10" s="597"/>
      <c r="L10" s="58"/>
    </row>
    <row r="11" spans="1:12" s="2" customFormat="1">
      <c r="B11" s="772" t="s">
        <v>373</v>
      </c>
      <c r="C11" s="151" t="str">
        <f>'RFPR cover'!$C$14</f>
        <v>£m 12/13</v>
      </c>
      <c r="D11" s="598">
        <v>0</v>
      </c>
      <c r="E11" s="599">
        <v>-3.5338659352710238</v>
      </c>
      <c r="F11" s="599">
        <v>-6.6571910919110451</v>
      </c>
      <c r="G11" s="599">
        <v>-18.498439329706684</v>
      </c>
      <c r="H11" s="599">
        <v>-13.61797150048767</v>
      </c>
      <c r="I11" s="599">
        <v>0.78845084398585641</v>
      </c>
      <c r="J11" s="599"/>
      <c r="K11" s="599"/>
      <c r="L11" s="58"/>
    </row>
    <row r="12" spans="1:12" s="2" customFormat="1">
      <c r="B12" s="772" t="s">
        <v>147</v>
      </c>
      <c r="C12" s="151" t="str">
        <f>'RFPR cover'!$C$14</f>
        <v>£m 12/13</v>
      </c>
      <c r="D12" s="598">
        <v>0</v>
      </c>
      <c r="E12" s="599">
        <v>0</v>
      </c>
      <c r="F12" s="599">
        <v>-6.7004486977759425</v>
      </c>
      <c r="G12" s="599">
        <v>-1.2120374717908498</v>
      </c>
      <c r="H12" s="599">
        <v>0.74024260706625444</v>
      </c>
      <c r="I12" s="599">
        <v>-0.29831333608173677</v>
      </c>
      <c r="J12" s="599"/>
      <c r="K12" s="599"/>
      <c r="L12" s="58"/>
    </row>
    <row r="13" spans="1:12" s="2" customFormat="1">
      <c r="B13" s="772" t="s">
        <v>361</v>
      </c>
      <c r="C13" s="152" t="s">
        <v>127</v>
      </c>
      <c r="D13" s="822">
        <v>1.0820000000000001</v>
      </c>
      <c r="E13" s="823">
        <v>1.087</v>
      </c>
      <c r="F13" s="823">
        <v>1.121</v>
      </c>
      <c r="G13" s="823">
        <v>1.159</v>
      </c>
      <c r="H13" s="823">
        <v>1.198</v>
      </c>
      <c r="I13" s="823">
        <v>1.2170000000000001</v>
      </c>
      <c r="J13" s="823"/>
      <c r="K13" s="823"/>
      <c r="L13" s="58"/>
    </row>
    <row r="14" spans="1:12" s="2" customFormat="1">
      <c r="B14" s="773" t="s">
        <v>195</v>
      </c>
      <c r="C14" s="266" t="s">
        <v>128</v>
      </c>
      <c r="D14" s="631">
        <f>SUM(D10:D12)*D13</f>
        <v>329.57720000000006</v>
      </c>
      <c r="E14" s="632">
        <f t="shared" ref="E14:K14" si="1">SUM(E10:E12)*E13</f>
        <v>334.10698772836037</v>
      </c>
      <c r="F14" s="632">
        <f t="shared" si="1"/>
        <v>333.54498579576085</v>
      </c>
      <c r="G14" s="632">
        <f t="shared" si="1"/>
        <v>337.48865738706434</v>
      </c>
      <c r="H14" s="632">
        <f t="shared" si="1"/>
        <v>357.03068078568111</v>
      </c>
      <c r="I14" s="632">
        <f t="shared" si="1"/>
        <v>378.96179734711933</v>
      </c>
      <c r="J14" s="632">
        <f t="shared" si="1"/>
        <v>0</v>
      </c>
      <c r="K14" s="633">
        <f t="shared" si="1"/>
        <v>0</v>
      </c>
      <c r="L14" s="58"/>
    </row>
    <row r="15" spans="1:12" s="2" customFormat="1">
      <c r="B15" s="213" t="s">
        <v>131</v>
      </c>
      <c r="C15" s="152" t="s">
        <v>128</v>
      </c>
      <c r="D15" s="600">
        <f>'R5 - Output Incentives'!D102</f>
        <v>4.696616249999999</v>
      </c>
      <c r="E15" s="601">
        <f>'R5 - Output Incentives'!E102</f>
        <v>7.1620872749999975</v>
      </c>
      <c r="F15" s="602">
        <f>'R5 - Output Incentives'!F102</f>
        <v>11.736138329744584</v>
      </c>
      <c r="G15" s="602">
        <f>'R5 - Output Incentives'!G102</f>
        <v>7.3950439867590561</v>
      </c>
      <c r="H15" s="602">
        <f>'R5 - Output Incentives'!H102</f>
        <v>9.7922032356259123</v>
      </c>
      <c r="I15" s="602">
        <f>'R5 - Output Incentives'!I102</f>
        <v>8.0434740023209734</v>
      </c>
      <c r="J15" s="602">
        <f>'R5 - Output Incentives'!J102</f>
        <v>8.3054638301367447</v>
      </c>
      <c r="K15" s="603">
        <f>'R5 - Output Incentives'!K102</f>
        <v>6.0623756153967276</v>
      </c>
      <c r="L15" s="58"/>
    </row>
    <row r="16" spans="1:12" s="2" customFormat="1">
      <c r="B16" s="774" t="s">
        <v>374</v>
      </c>
      <c r="C16" s="152" t="s">
        <v>128</v>
      </c>
      <c r="D16" s="598">
        <v>0</v>
      </c>
      <c r="E16" s="599">
        <v>0</v>
      </c>
      <c r="F16" s="599">
        <v>-1.6158701416146906</v>
      </c>
      <c r="G16" s="599">
        <v>-1.8374869364804653</v>
      </c>
      <c r="H16" s="599">
        <v>4.9624381359817393</v>
      </c>
      <c r="I16" s="599">
        <v>6.7865620400562614</v>
      </c>
      <c r="J16" s="599"/>
      <c r="K16" s="599"/>
      <c r="L16" s="58"/>
    </row>
    <row r="17" spans="2:12" s="2" customFormat="1">
      <c r="B17" s="774" t="s">
        <v>134</v>
      </c>
      <c r="C17" s="152" t="s">
        <v>128</v>
      </c>
      <c r="D17" s="600">
        <f>'R6 - Innovation'!D12</f>
        <v>1.4569309694056596</v>
      </c>
      <c r="E17" s="601">
        <f>'R6 - Innovation'!E12</f>
        <v>1.4422429196172319</v>
      </c>
      <c r="F17" s="602">
        <f>'R6 - Innovation'!F12</f>
        <v>1.3053052433692378</v>
      </c>
      <c r="G17" s="602">
        <f>'R6 - Innovation'!G12</f>
        <v>1.3559869960060054</v>
      </c>
      <c r="H17" s="602">
        <f>'R6 - Innovation'!H12</f>
        <v>1.607817917533696</v>
      </c>
      <c r="I17" s="602">
        <f>'R6 - Innovation'!I12</f>
        <v>1.7977894853377601</v>
      </c>
      <c r="J17" s="602">
        <f>'R6 - Innovation'!J12</f>
        <v>1.3355999999999999</v>
      </c>
      <c r="K17" s="603">
        <f>'R6 - Innovation'!K12</f>
        <v>1.3608</v>
      </c>
      <c r="L17" s="58"/>
    </row>
    <row r="18" spans="2:12" s="2" customFormat="1">
      <c r="B18" s="774" t="s">
        <v>133</v>
      </c>
      <c r="C18" s="152" t="s">
        <v>128</v>
      </c>
      <c r="D18" s="600">
        <f>'R6 - Innovation'!D17</f>
        <v>1.0369999999999999</v>
      </c>
      <c r="E18" s="601">
        <f>'R6 - Innovation'!E17</f>
        <v>5.5E-2</v>
      </c>
      <c r="F18" s="602">
        <f>'R6 - Innovation'!F17</f>
        <v>0.159</v>
      </c>
      <c r="G18" s="602">
        <f>'R6 - Innovation'!G17</f>
        <v>0.432</v>
      </c>
      <c r="H18" s="602">
        <f>'R6 - Innovation'!H17</f>
        <v>5.9173440000000001E-2</v>
      </c>
      <c r="I18" s="602">
        <f>'R6 - Innovation'!I17</f>
        <v>-0.159</v>
      </c>
      <c r="J18" s="602">
        <f>'R6 - Innovation'!J17</f>
        <v>3.5000000000000003E-2</v>
      </c>
      <c r="K18" s="603">
        <f>'R6 - Innovation'!K17</f>
        <v>0</v>
      </c>
      <c r="L18" s="58"/>
    </row>
    <row r="19" spans="2:12" s="2" customFormat="1">
      <c r="B19" s="544" t="s">
        <v>578</v>
      </c>
      <c r="C19" s="152" t="s">
        <v>128</v>
      </c>
      <c r="D19" s="598">
        <v>0</v>
      </c>
      <c r="E19" s="599">
        <v>0</v>
      </c>
      <c r="F19" s="599">
        <v>0</v>
      </c>
      <c r="G19" s="599">
        <v>0</v>
      </c>
      <c r="H19" s="599">
        <v>0</v>
      </c>
      <c r="I19" s="599">
        <v>0</v>
      </c>
      <c r="J19" s="599"/>
      <c r="K19" s="599"/>
      <c r="L19" s="58"/>
    </row>
    <row r="20" spans="2:12" s="2" customFormat="1">
      <c r="B20" s="544" t="s">
        <v>579</v>
      </c>
      <c r="C20" s="152" t="s">
        <v>128</v>
      </c>
      <c r="D20" s="598">
        <v>0</v>
      </c>
      <c r="E20" s="599">
        <v>0</v>
      </c>
      <c r="F20" s="599">
        <v>0</v>
      </c>
      <c r="G20" s="599">
        <v>0</v>
      </c>
      <c r="H20" s="599">
        <v>0</v>
      </c>
      <c r="I20" s="599">
        <v>0</v>
      </c>
      <c r="J20" s="599"/>
      <c r="K20" s="599"/>
      <c r="L20" s="58"/>
    </row>
    <row r="21" spans="2:12" s="2" customFormat="1">
      <c r="B21" s="544" t="s">
        <v>580</v>
      </c>
      <c r="C21" s="152" t="s">
        <v>128</v>
      </c>
      <c r="D21" s="598">
        <v>0</v>
      </c>
      <c r="E21" s="599">
        <v>0</v>
      </c>
      <c r="F21" s="599">
        <v>0</v>
      </c>
      <c r="G21" s="599">
        <v>0</v>
      </c>
      <c r="H21" s="599">
        <v>0</v>
      </c>
      <c r="I21" s="599">
        <v>0</v>
      </c>
      <c r="J21" s="599"/>
      <c r="K21" s="599"/>
      <c r="L21" s="58"/>
    </row>
    <row r="22" spans="2:12" s="2" customFormat="1">
      <c r="B22" s="544" t="s">
        <v>581</v>
      </c>
      <c r="C22" s="152" t="s">
        <v>128</v>
      </c>
      <c r="D22" s="598">
        <v>5.7523622804703667</v>
      </c>
      <c r="E22" s="599">
        <v>1.1304799999999999</v>
      </c>
      <c r="F22" s="599">
        <v>0</v>
      </c>
      <c r="G22" s="599">
        <v>0</v>
      </c>
      <c r="H22" s="599">
        <v>0</v>
      </c>
      <c r="I22" s="599">
        <v>0</v>
      </c>
      <c r="J22" s="599"/>
      <c r="K22" s="599"/>
      <c r="L22" s="58"/>
    </row>
    <row r="23" spans="2:12" s="2" customFormat="1">
      <c r="B23" s="544" t="s">
        <v>582</v>
      </c>
      <c r="C23" s="152" t="s">
        <v>128</v>
      </c>
      <c r="D23" s="598">
        <v>0</v>
      </c>
      <c r="E23" s="599">
        <v>0</v>
      </c>
      <c r="F23" s="599">
        <v>0</v>
      </c>
      <c r="G23" s="599">
        <v>0</v>
      </c>
      <c r="H23" s="599">
        <v>0</v>
      </c>
      <c r="I23" s="599">
        <v>0</v>
      </c>
      <c r="J23" s="599"/>
      <c r="K23" s="599"/>
      <c r="L23" s="58"/>
    </row>
    <row r="24" spans="2:12" s="2" customFormat="1">
      <c r="B24" s="544" t="s">
        <v>582</v>
      </c>
      <c r="C24" s="152" t="s">
        <v>128</v>
      </c>
      <c r="D24" s="598">
        <v>0</v>
      </c>
      <c r="E24" s="599">
        <v>0</v>
      </c>
      <c r="F24" s="599">
        <v>0</v>
      </c>
      <c r="G24" s="599">
        <v>0</v>
      </c>
      <c r="H24" s="599">
        <v>0</v>
      </c>
      <c r="I24" s="599">
        <v>0</v>
      </c>
      <c r="J24" s="599"/>
      <c r="K24" s="599"/>
      <c r="L24" s="58"/>
    </row>
    <row r="25" spans="2:12" s="2" customFormat="1">
      <c r="B25" s="774" t="s">
        <v>135</v>
      </c>
      <c r="C25" s="152" t="s">
        <v>128</v>
      </c>
      <c r="D25" s="598">
        <v>-17.652290540017976</v>
      </c>
      <c r="E25" s="599">
        <v>0</v>
      </c>
      <c r="F25" s="599">
        <v>10.495883291163839</v>
      </c>
      <c r="G25" s="599">
        <v>-3.275342698980912</v>
      </c>
      <c r="H25" s="599">
        <v>2.6663190332749922</v>
      </c>
      <c r="I25" s="599">
        <v>-10.862373095528717</v>
      </c>
      <c r="J25" s="599"/>
      <c r="K25" s="599"/>
      <c r="L25" s="58"/>
    </row>
    <row r="26" spans="2:12" s="2" customFormat="1">
      <c r="B26" s="769" t="s">
        <v>148</v>
      </c>
      <c r="C26" s="152" t="s">
        <v>128</v>
      </c>
      <c r="D26" s="604">
        <f>SUM(D14:D24,-D25)</f>
        <v>360.17240003989406</v>
      </c>
      <c r="E26" s="605">
        <f t="shared" ref="E26:K26" si="2">SUM(E14:E24,-E25)</f>
        <v>343.89679792297756</v>
      </c>
      <c r="F26" s="605">
        <f t="shared" si="2"/>
        <v>334.6336759360961</v>
      </c>
      <c r="G26" s="605">
        <f t="shared" si="2"/>
        <v>348.10954413232986</v>
      </c>
      <c r="H26" s="605">
        <f t="shared" si="2"/>
        <v>370.78599448154745</v>
      </c>
      <c r="I26" s="605">
        <f t="shared" si="2"/>
        <v>406.29299597036305</v>
      </c>
      <c r="J26" s="605">
        <f t="shared" si="2"/>
        <v>9.6760638301367443</v>
      </c>
      <c r="K26" s="606">
        <f t="shared" si="2"/>
        <v>7.4231756153967279</v>
      </c>
      <c r="L26" s="58"/>
    </row>
    <row r="27" spans="2:12" s="2" customFormat="1">
      <c r="B27" s="225"/>
      <c r="C27" s="138"/>
      <c r="D27" s="55"/>
      <c r="E27" s="55"/>
      <c r="F27" s="55"/>
      <c r="G27" s="61"/>
      <c r="H27" s="61"/>
      <c r="I27" s="61"/>
      <c r="J27" s="61"/>
      <c r="K27" s="61"/>
      <c r="L27" s="58"/>
    </row>
    <row r="28" spans="2:12" s="2" customFormat="1">
      <c r="B28" s="225" t="s">
        <v>150</v>
      </c>
      <c r="C28" s="138"/>
      <c r="D28" s="604">
        <f>IF(ISBLANK(D33),0,D33-D26)</f>
        <v>10.104599960105929</v>
      </c>
      <c r="E28" s="605">
        <f t="shared" ref="E28:K28" si="3">IF(ISBLANK(E33),0,E33-E26)</f>
        <v>-3.1577979229775792</v>
      </c>
      <c r="F28" s="605">
        <f t="shared" si="3"/>
        <v>2.5623240639039295</v>
      </c>
      <c r="G28" s="605">
        <f t="shared" si="3"/>
        <v>-10.401609885650146</v>
      </c>
      <c r="H28" s="605">
        <f t="shared" si="3"/>
        <v>17.634302828305579</v>
      </c>
      <c r="I28" s="605">
        <f t="shared" si="3"/>
        <v>-20.118285631696438</v>
      </c>
      <c r="J28" s="605">
        <f t="shared" si="3"/>
        <v>0</v>
      </c>
      <c r="K28" s="606">
        <f t="shared" si="3"/>
        <v>0</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70" t="s">
        <v>192</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71" t="s">
        <v>149</v>
      </c>
      <c r="C33" s="138"/>
      <c r="D33" s="640">
        <v>370.27699999999999</v>
      </c>
      <c r="E33" s="641">
        <v>340.73899999999998</v>
      </c>
      <c r="F33" s="641">
        <v>337.19600000000003</v>
      </c>
      <c r="G33" s="641">
        <v>337.70793424667971</v>
      </c>
      <c r="H33" s="641">
        <v>388.42029730985303</v>
      </c>
      <c r="I33" s="641">
        <v>386.17471033866661</v>
      </c>
      <c r="J33" s="641"/>
      <c r="K33" s="642"/>
      <c r="L33" s="58"/>
    </row>
    <row r="34" spans="2:12" s="2" customFormat="1">
      <c r="B34" s="129"/>
      <c r="C34" s="136"/>
      <c r="L34" s="58"/>
    </row>
    <row r="35" spans="2:12" s="2" customFormat="1">
      <c r="B35" s="394" t="s">
        <v>136</v>
      </c>
      <c r="C35" s="136"/>
      <c r="L35" s="58"/>
    </row>
    <row r="36" spans="2:12" s="2" customFormat="1">
      <c r="B36" s="900" t="s">
        <v>137</v>
      </c>
      <c r="C36" s="152" t="s">
        <v>128</v>
      </c>
      <c r="D36" s="596">
        <v>0</v>
      </c>
      <c r="E36" s="597">
        <v>0</v>
      </c>
      <c r="F36" s="597">
        <v>0</v>
      </c>
      <c r="G36" s="597">
        <v>0</v>
      </c>
      <c r="H36" s="597">
        <v>0</v>
      </c>
      <c r="I36" s="597">
        <v>0</v>
      </c>
      <c r="J36" s="597"/>
      <c r="K36" s="607"/>
      <c r="L36" s="58"/>
    </row>
    <row r="37" spans="2:12" s="2" customFormat="1">
      <c r="B37" s="900" t="s">
        <v>138</v>
      </c>
      <c r="C37" s="152" t="s">
        <v>128</v>
      </c>
      <c r="D37" s="598">
        <v>1.4490000000000001</v>
      </c>
      <c r="E37" s="599">
        <v>1.4319999999999999</v>
      </c>
      <c r="F37" s="599">
        <v>1.278</v>
      </c>
      <c r="G37" s="599">
        <v>1.153</v>
      </c>
      <c r="H37" s="599">
        <v>1.042</v>
      </c>
      <c r="I37" s="599">
        <v>0.97899999999999998</v>
      </c>
      <c r="J37" s="599"/>
      <c r="K37" s="608"/>
      <c r="L37" s="58"/>
    </row>
    <row r="38" spans="2:12" s="2" customFormat="1">
      <c r="B38" s="900" t="s">
        <v>139</v>
      </c>
      <c r="C38" s="152" t="s">
        <v>128</v>
      </c>
      <c r="D38" s="598">
        <v>47.306663674719999</v>
      </c>
      <c r="E38" s="599">
        <v>49.755604156285628</v>
      </c>
      <c r="F38" s="599">
        <v>62.443643163333498</v>
      </c>
      <c r="G38" s="599">
        <v>33.625091915555551</v>
      </c>
      <c r="H38" s="599">
        <v>35.698071147541157</v>
      </c>
      <c r="I38" s="599">
        <v>39.430542905257113</v>
      </c>
      <c r="J38" s="599"/>
      <c r="K38" s="608"/>
      <c r="L38" s="58"/>
    </row>
    <row r="39" spans="2:12" s="2" customFormat="1">
      <c r="B39" s="900" t="s">
        <v>140</v>
      </c>
      <c r="C39" s="152" t="s">
        <v>128</v>
      </c>
      <c r="D39" s="598">
        <v>0</v>
      </c>
      <c r="E39" s="599">
        <v>0</v>
      </c>
      <c r="F39" s="599">
        <v>0</v>
      </c>
      <c r="G39" s="599">
        <v>0</v>
      </c>
      <c r="H39" s="599">
        <v>0</v>
      </c>
      <c r="I39" s="599">
        <v>0</v>
      </c>
      <c r="J39" s="599"/>
      <c r="K39" s="608"/>
      <c r="L39" s="58"/>
    </row>
    <row r="40" spans="2:12" s="2" customFormat="1">
      <c r="B40" s="900" t="s">
        <v>141</v>
      </c>
      <c r="C40" s="152" t="s">
        <v>128</v>
      </c>
      <c r="D40" s="598">
        <v>0</v>
      </c>
      <c r="E40" s="599">
        <v>0</v>
      </c>
      <c r="F40" s="599">
        <v>0</v>
      </c>
      <c r="G40" s="599">
        <v>0</v>
      </c>
      <c r="H40" s="599">
        <v>0</v>
      </c>
      <c r="I40" s="599">
        <v>0</v>
      </c>
      <c r="J40" s="599"/>
      <c r="K40" s="608"/>
      <c r="L40" s="58"/>
    </row>
    <row r="41" spans="2:12" s="2" customFormat="1">
      <c r="B41" s="900" t="s">
        <v>142</v>
      </c>
      <c r="C41" s="152" t="s">
        <v>128</v>
      </c>
      <c r="D41" s="598">
        <v>0.33133630000000003</v>
      </c>
      <c r="E41" s="599">
        <v>0.27021433</v>
      </c>
      <c r="F41" s="599">
        <v>0.16259973999999999</v>
      </c>
      <c r="G41" s="599">
        <v>0</v>
      </c>
      <c r="H41" s="599">
        <v>0.24784468000000001</v>
      </c>
      <c r="I41" s="599">
        <v>0.10356586999999999</v>
      </c>
      <c r="J41" s="599"/>
      <c r="K41" s="608"/>
      <c r="L41" s="58"/>
    </row>
    <row r="42" spans="2:12" s="2" customFormat="1">
      <c r="B42" s="900" t="s">
        <v>143</v>
      </c>
      <c r="C42" s="152" t="s">
        <v>128</v>
      </c>
      <c r="D42" s="598">
        <v>0</v>
      </c>
      <c r="E42" s="599">
        <v>0</v>
      </c>
      <c r="F42" s="599">
        <v>0</v>
      </c>
      <c r="G42" s="599">
        <v>0</v>
      </c>
      <c r="H42" s="599">
        <v>0</v>
      </c>
      <c r="I42" s="599">
        <v>0</v>
      </c>
      <c r="J42" s="599"/>
      <c r="K42" s="608"/>
      <c r="L42" s="58"/>
    </row>
    <row r="43" spans="2:12" s="2" customFormat="1">
      <c r="B43" s="901" t="s">
        <v>144</v>
      </c>
      <c r="C43" s="152" t="s">
        <v>128</v>
      </c>
      <c r="D43" s="609">
        <v>0</v>
      </c>
      <c r="E43" s="610">
        <v>0</v>
      </c>
      <c r="F43" s="610">
        <v>0</v>
      </c>
      <c r="G43" s="610">
        <v>0</v>
      </c>
      <c r="H43" s="610">
        <v>0</v>
      </c>
      <c r="I43" s="610">
        <v>0</v>
      </c>
      <c r="J43" s="610"/>
      <c r="K43" s="611"/>
      <c r="L43" s="58"/>
    </row>
    <row r="44" spans="2:12" s="2" customFormat="1">
      <c r="B44" s="899" t="s">
        <v>513</v>
      </c>
      <c r="C44" s="152" t="s">
        <v>128</v>
      </c>
      <c r="D44" s="609">
        <v>0</v>
      </c>
      <c r="E44" s="610">
        <v>0</v>
      </c>
      <c r="F44" s="610">
        <v>0</v>
      </c>
      <c r="G44" s="610">
        <v>0</v>
      </c>
      <c r="H44" s="610">
        <v>0</v>
      </c>
      <c r="I44" s="610">
        <v>0</v>
      </c>
      <c r="J44" s="610"/>
      <c r="K44" s="611"/>
      <c r="L44" s="58"/>
    </row>
    <row r="45" spans="2:12" s="2" customFormat="1">
      <c r="B45" s="394" t="s">
        <v>175</v>
      </c>
      <c r="C45" s="152" t="s">
        <v>128</v>
      </c>
      <c r="D45" s="612">
        <f>SUM(D36:D44)</f>
        <v>49.086999974719994</v>
      </c>
      <c r="E45" s="613">
        <f t="shared" ref="E45:K45" si="4">SUM(E36:E44)</f>
        <v>51.457818486285632</v>
      </c>
      <c r="F45" s="613">
        <f t="shared" si="4"/>
        <v>63.884242903333494</v>
      </c>
      <c r="G45" s="613">
        <f t="shared" si="4"/>
        <v>34.778091915555549</v>
      </c>
      <c r="H45" s="613">
        <f t="shared" si="4"/>
        <v>36.987915827541158</v>
      </c>
      <c r="I45" s="613">
        <f t="shared" si="4"/>
        <v>40.513108775257109</v>
      </c>
      <c r="J45" s="613">
        <f t="shared" si="4"/>
        <v>0</v>
      </c>
      <c r="K45" s="614">
        <f t="shared" si="4"/>
        <v>0</v>
      </c>
      <c r="L45" s="58"/>
    </row>
    <row r="46" spans="2:12" s="2" customFormat="1">
      <c r="B46" s="129"/>
      <c r="C46" s="136"/>
      <c r="L46" s="58"/>
    </row>
    <row r="47" spans="2:12" s="2" customFormat="1">
      <c r="B47" s="394" t="s">
        <v>145</v>
      </c>
      <c r="C47" s="136"/>
      <c r="L47" s="54"/>
    </row>
    <row r="48" spans="2:12" s="2" customFormat="1">
      <c r="B48" s="544" t="s">
        <v>583</v>
      </c>
      <c r="C48" s="152" t="s">
        <v>128</v>
      </c>
      <c r="D48" s="615">
        <v>-9.2050000000000001</v>
      </c>
      <c r="E48" s="616">
        <v>-7.6580000000000004</v>
      </c>
      <c r="F48" s="616">
        <v>-9.4949999999999992</v>
      </c>
      <c r="G48" s="616">
        <v>-4.9537095200000048</v>
      </c>
      <c r="H48" s="616">
        <v>-6.4287116699999656</v>
      </c>
      <c r="I48" s="616">
        <v>-7.7533912799999829</v>
      </c>
      <c r="J48" s="616"/>
      <c r="K48" s="617"/>
      <c r="L48" s="58"/>
    </row>
    <row r="49" spans="2:12" s="2" customFormat="1">
      <c r="B49" s="544" t="s">
        <v>584</v>
      </c>
      <c r="C49" s="152" t="s">
        <v>128</v>
      </c>
      <c r="D49" s="618">
        <v>-0.33100000000000002</v>
      </c>
      <c r="E49" s="619">
        <v>-0.27</v>
      </c>
      <c r="F49" s="619">
        <v>-0.16300000000000001</v>
      </c>
      <c r="G49" s="619">
        <v>0</v>
      </c>
      <c r="H49" s="619">
        <v>-0.24784468000000001</v>
      </c>
      <c r="I49" s="619">
        <v>-0.10356586999999999</v>
      </c>
      <c r="J49" s="619"/>
      <c r="K49" s="620"/>
      <c r="L49" s="58"/>
    </row>
    <row r="50" spans="2:12" s="2" customFormat="1">
      <c r="B50" s="544" t="s">
        <v>585</v>
      </c>
      <c r="C50" s="152" t="s">
        <v>128</v>
      </c>
      <c r="D50" s="618">
        <v>-30.355742344719999</v>
      </c>
      <c r="E50" s="619">
        <v>-35.536000000000001</v>
      </c>
      <c r="F50" s="619">
        <v>-47.157000300000036</v>
      </c>
      <c r="G50" s="619">
        <v>-23.890145439999991</v>
      </c>
      <c r="H50" s="619">
        <v>-24.878350801985636</v>
      </c>
      <c r="I50" s="619">
        <v>-27.632001023923799</v>
      </c>
      <c r="J50" s="619"/>
      <c r="K50" s="620"/>
      <c r="L50" s="58"/>
    </row>
    <row r="51" spans="2:12" s="2" customFormat="1">
      <c r="B51" s="544" t="s">
        <v>586</v>
      </c>
      <c r="C51" s="152" t="s">
        <v>128</v>
      </c>
      <c r="D51" s="618">
        <v>0</v>
      </c>
      <c r="E51" s="619">
        <v>0</v>
      </c>
      <c r="F51" s="619">
        <v>0</v>
      </c>
      <c r="G51" s="619">
        <v>14.45256627</v>
      </c>
      <c r="H51" s="619">
        <v>16.225126499999998</v>
      </c>
      <c r="I51" s="619">
        <v>16.447740500000005</v>
      </c>
      <c r="J51" s="619"/>
      <c r="K51" s="620"/>
      <c r="L51" s="58"/>
    </row>
    <row r="52" spans="2:12" s="2" customFormat="1">
      <c r="B52" s="544" t="s">
        <v>587</v>
      </c>
      <c r="C52" s="152" t="s">
        <v>128</v>
      </c>
      <c r="D52" s="618">
        <v>0</v>
      </c>
      <c r="E52" s="619">
        <v>0</v>
      </c>
      <c r="F52" s="619">
        <v>0</v>
      </c>
      <c r="G52" s="619">
        <v>0.40590012776470519</v>
      </c>
      <c r="H52" s="619">
        <v>0.40765082459130375</v>
      </c>
      <c r="I52" s="619">
        <v>0</v>
      </c>
      <c r="J52" s="619"/>
      <c r="K52" s="620"/>
      <c r="L52" s="58"/>
    </row>
    <row r="53" spans="2:12" s="2" customFormat="1">
      <c r="B53" s="544" t="s">
        <v>582</v>
      </c>
      <c r="C53" s="152" t="s">
        <v>128</v>
      </c>
      <c r="D53" s="618">
        <v>0</v>
      </c>
      <c r="E53" s="619">
        <v>0</v>
      </c>
      <c r="F53" s="619">
        <v>0</v>
      </c>
      <c r="G53" s="619">
        <v>0</v>
      </c>
      <c r="H53" s="619">
        <v>0</v>
      </c>
      <c r="I53" s="619">
        <v>0</v>
      </c>
      <c r="J53" s="619"/>
      <c r="K53" s="620"/>
      <c r="L53" s="58"/>
    </row>
    <row r="54" spans="2:12" s="2" customFormat="1">
      <c r="B54" s="544" t="s">
        <v>582</v>
      </c>
      <c r="C54" s="152" t="s">
        <v>128</v>
      </c>
      <c r="D54" s="618">
        <v>0</v>
      </c>
      <c r="E54" s="619">
        <v>0</v>
      </c>
      <c r="F54" s="619">
        <v>0</v>
      </c>
      <c r="G54" s="619">
        <v>0</v>
      </c>
      <c r="H54" s="619">
        <v>0</v>
      </c>
      <c r="I54" s="619">
        <v>0</v>
      </c>
      <c r="J54" s="619"/>
      <c r="K54" s="620"/>
      <c r="L54" s="58"/>
    </row>
    <row r="55" spans="2:12" s="2" customFormat="1">
      <c r="B55" s="544" t="s">
        <v>582</v>
      </c>
      <c r="C55" s="152" t="s">
        <v>128</v>
      </c>
      <c r="D55" s="618">
        <v>0</v>
      </c>
      <c r="E55" s="619">
        <v>0</v>
      </c>
      <c r="F55" s="619">
        <v>0</v>
      </c>
      <c r="G55" s="619">
        <v>0</v>
      </c>
      <c r="H55" s="619">
        <v>0</v>
      </c>
      <c r="I55" s="619">
        <v>0</v>
      </c>
      <c r="J55" s="619"/>
      <c r="K55" s="620"/>
      <c r="L55" s="58"/>
    </row>
    <row r="56" spans="2:12" s="2" customFormat="1">
      <c r="B56" s="544" t="s">
        <v>582</v>
      </c>
      <c r="C56" s="152" t="s">
        <v>128</v>
      </c>
      <c r="D56" s="618">
        <v>0</v>
      </c>
      <c r="E56" s="619">
        <v>0</v>
      </c>
      <c r="F56" s="619">
        <v>0</v>
      </c>
      <c r="G56" s="619">
        <v>0</v>
      </c>
      <c r="H56" s="619">
        <v>0</v>
      </c>
      <c r="I56" s="619">
        <v>0</v>
      </c>
      <c r="J56" s="619"/>
      <c r="K56" s="620"/>
      <c r="L56" s="58"/>
    </row>
    <row r="57" spans="2:12" s="2" customFormat="1">
      <c r="B57" s="544" t="s">
        <v>582</v>
      </c>
      <c r="C57" s="152" t="s">
        <v>128</v>
      </c>
      <c r="D57" s="618">
        <v>0</v>
      </c>
      <c r="E57" s="619">
        <v>0</v>
      </c>
      <c r="F57" s="619">
        <v>0</v>
      </c>
      <c r="G57" s="619">
        <v>0</v>
      </c>
      <c r="H57" s="619">
        <v>0</v>
      </c>
      <c r="I57" s="619">
        <v>0</v>
      </c>
      <c r="J57" s="619"/>
      <c r="K57" s="620"/>
      <c r="L57" s="58"/>
    </row>
    <row r="58" spans="2:12" s="2" customFormat="1">
      <c r="B58" s="544" t="s">
        <v>582</v>
      </c>
      <c r="C58" s="152" t="s">
        <v>128</v>
      </c>
      <c r="D58" s="618">
        <v>0</v>
      </c>
      <c r="E58" s="619">
        <v>0</v>
      </c>
      <c r="F58" s="619">
        <v>0</v>
      </c>
      <c r="G58" s="619">
        <v>0</v>
      </c>
      <c r="H58" s="619">
        <v>0</v>
      </c>
      <c r="I58" s="619">
        <v>0</v>
      </c>
      <c r="J58" s="619"/>
      <c r="K58" s="620"/>
      <c r="L58" s="58"/>
    </row>
    <row r="59" spans="2:12" s="2" customFormat="1">
      <c r="B59" s="544" t="s">
        <v>582</v>
      </c>
      <c r="C59" s="152" t="s">
        <v>128</v>
      </c>
      <c r="D59" s="618">
        <v>0</v>
      </c>
      <c r="E59" s="619">
        <v>0</v>
      </c>
      <c r="F59" s="619">
        <v>0</v>
      </c>
      <c r="G59" s="619">
        <v>0</v>
      </c>
      <c r="H59" s="619">
        <v>0</v>
      </c>
      <c r="I59" s="619">
        <v>0</v>
      </c>
      <c r="J59" s="619"/>
      <c r="K59" s="620"/>
      <c r="L59" s="58"/>
    </row>
    <row r="60" spans="2:12" s="2" customFormat="1">
      <c r="B60" s="544" t="s">
        <v>582</v>
      </c>
      <c r="C60" s="152" t="s">
        <v>128</v>
      </c>
      <c r="D60" s="618">
        <v>0</v>
      </c>
      <c r="E60" s="619">
        <v>0</v>
      </c>
      <c r="F60" s="619">
        <v>0</v>
      </c>
      <c r="G60" s="619">
        <v>0</v>
      </c>
      <c r="H60" s="619">
        <v>0</v>
      </c>
      <c r="I60" s="619">
        <v>0</v>
      </c>
      <c r="J60" s="619"/>
      <c r="K60" s="620"/>
      <c r="L60" s="58"/>
    </row>
    <row r="61" spans="2:12" s="2" customFormat="1">
      <c r="B61" s="544" t="s">
        <v>582</v>
      </c>
      <c r="C61" s="152" t="s">
        <v>128</v>
      </c>
      <c r="D61" s="618">
        <v>0</v>
      </c>
      <c r="E61" s="619">
        <v>0</v>
      </c>
      <c r="F61" s="619">
        <v>0</v>
      </c>
      <c r="G61" s="619">
        <v>0</v>
      </c>
      <c r="H61" s="619">
        <v>0</v>
      </c>
      <c r="I61" s="619">
        <v>0</v>
      </c>
      <c r="J61" s="619"/>
      <c r="K61" s="620"/>
      <c r="L61" s="58"/>
    </row>
    <row r="62" spans="2:12" s="2" customFormat="1">
      <c r="B62" s="544" t="s">
        <v>582</v>
      </c>
      <c r="C62" s="152" t="s">
        <v>128</v>
      </c>
      <c r="D62" s="618">
        <v>0</v>
      </c>
      <c r="E62" s="619">
        <v>0</v>
      </c>
      <c r="F62" s="619">
        <v>0</v>
      </c>
      <c r="G62" s="619">
        <v>0</v>
      </c>
      <c r="H62" s="619">
        <v>0</v>
      </c>
      <c r="I62" s="619">
        <v>0</v>
      </c>
      <c r="J62" s="619"/>
      <c r="K62" s="620"/>
      <c r="L62" s="58"/>
    </row>
    <row r="63" spans="2:12" s="2" customFormat="1">
      <c r="B63" s="775" t="s">
        <v>588</v>
      </c>
      <c r="C63" s="152" t="s">
        <v>128</v>
      </c>
      <c r="D63" s="621">
        <v>0</v>
      </c>
      <c r="E63" s="622">
        <v>0</v>
      </c>
      <c r="F63" s="623">
        <v>0</v>
      </c>
      <c r="G63" s="622">
        <v>0</v>
      </c>
      <c r="H63" s="622">
        <v>0</v>
      </c>
      <c r="I63" s="622">
        <v>0</v>
      </c>
      <c r="J63" s="622"/>
      <c r="K63" s="624"/>
      <c r="L63" s="58"/>
    </row>
    <row r="64" spans="2:12" s="2" customFormat="1">
      <c r="B64" s="771" t="s">
        <v>176</v>
      </c>
      <c r="C64" s="152" t="s">
        <v>128</v>
      </c>
      <c r="D64" s="604">
        <f t="shared" ref="D64:K64" si="5">SUM(D48:D63)</f>
        <v>-39.891742344720001</v>
      </c>
      <c r="E64" s="605">
        <f t="shared" si="5"/>
        <v>-43.463999999999999</v>
      </c>
      <c r="F64" s="605">
        <f t="shared" si="5"/>
        <v>-56.815000300000037</v>
      </c>
      <c r="G64" s="605">
        <f t="shared" si="5"/>
        <v>-13.98538856223529</v>
      </c>
      <c r="H64" s="605">
        <f t="shared" si="5"/>
        <v>-14.922129827394301</v>
      </c>
      <c r="I64" s="605">
        <f t="shared" si="5"/>
        <v>-19.041217673923779</v>
      </c>
      <c r="J64" s="605">
        <f t="shared" si="5"/>
        <v>0</v>
      </c>
      <c r="K64" s="606">
        <f t="shared" si="5"/>
        <v>0</v>
      </c>
      <c r="L64" s="58"/>
    </row>
    <row r="65" spans="1:12" s="2" customFormat="1">
      <c r="B65" s="225"/>
      <c r="C65" s="138"/>
      <c r="D65" s="56"/>
      <c r="E65" s="56"/>
      <c r="F65" s="56"/>
      <c r="G65" s="56"/>
      <c r="H65" s="56"/>
      <c r="I65" s="56"/>
      <c r="J65" s="56"/>
      <c r="K65" s="56"/>
      <c r="L65" s="58"/>
    </row>
    <row r="66" spans="1:12" s="2" customFormat="1">
      <c r="B66" s="771" t="s">
        <v>146</v>
      </c>
      <c r="C66" s="152" t="s">
        <v>128</v>
      </c>
      <c r="D66" s="625">
        <f t="shared" ref="D66:K66" si="6">D33+D45+D64</f>
        <v>379.47225763</v>
      </c>
      <c r="E66" s="626">
        <f t="shared" si="6"/>
        <v>348.73281848628562</v>
      </c>
      <c r="F66" s="626">
        <f t="shared" si="6"/>
        <v>344.26524260333349</v>
      </c>
      <c r="G66" s="626">
        <f t="shared" si="6"/>
        <v>358.50063759999995</v>
      </c>
      <c r="H66" s="626">
        <f t="shared" si="6"/>
        <v>410.48608330999986</v>
      </c>
      <c r="I66" s="626">
        <f t="shared" si="6"/>
        <v>407.64660143999998</v>
      </c>
      <c r="J66" s="626">
        <f t="shared" si="6"/>
        <v>0</v>
      </c>
      <c r="K66" s="627">
        <f t="shared" si="6"/>
        <v>0</v>
      </c>
      <c r="L66" s="58"/>
    </row>
    <row r="67" spans="1:12" s="2" customFormat="1">
      <c r="B67" s="771" t="s">
        <v>193</v>
      </c>
      <c r="C67" s="152" t="s">
        <v>128</v>
      </c>
      <c r="D67" s="628">
        <v>379.5</v>
      </c>
      <c r="E67" s="629">
        <v>348.7</v>
      </c>
      <c r="F67" s="629">
        <v>344.3</v>
      </c>
      <c r="G67" s="629">
        <v>358.5</v>
      </c>
      <c r="H67" s="629">
        <v>410.48645480999988</v>
      </c>
      <c r="I67" s="629">
        <v>407.64694699999995</v>
      </c>
      <c r="J67" s="629"/>
      <c r="K67" s="630"/>
      <c r="L67" s="58"/>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2" s="2" customFormat="1">
      <c r="B69" s="129"/>
      <c r="C69" s="138"/>
      <c r="D69" s="48"/>
      <c r="E69" s="48"/>
      <c r="F69" s="48"/>
      <c r="G69" s="48"/>
      <c r="H69" s="48"/>
      <c r="I69" s="48"/>
      <c r="J69" s="48"/>
      <c r="K69" s="48"/>
      <c r="L69" s="58"/>
    </row>
    <row r="70" spans="1:12" s="2" customFormat="1">
      <c r="B70" s="129"/>
      <c r="C70" s="136"/>
      <c r="L70" s="54"/>
    </row>
    <row r="71" spans="1:12" s="2" customFormat="1">
      <c r="A71" s="81"/>
      <c r="B71" s="776"/>
      <c r="C71" s="150"/>
      <c r="D71" s="81"/>
      <c r="E71" s="81"/>
      <c r="F71" s="81"/>
      <c r="G71" s="81"/>
      <c r="H71" s="81"/>
      <c r="I71" s="81"/>
      <c r="J71" s="81"/>
      <c r="K71" s="81"/>
      <c r="L71" s="272"/>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10:K26 I28:K28">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2" s="31" customFormat="1" ht="20.25">
      <c r="A1" s="930" t="s">
        <v>308</v>
      </c>
      <c r="B1" s="931"/>
      <c r="C1" s="148"/>
      <c r="D1" s="121"/>
      <c r="E1" s="121"/>
      <c r="F1" s="121"/>
      <c r="G1" s="121"/>
      <c r="H1" s="121"/>
      <c r="I1" s="121"/>
      <c r="J1" s="121"/>
      <c r="K1" s="121"/>
      <c r="L1" s="122"/>
    </row>
    <row r="2" spans="1:12" s="31" customFormat="1" ht="20.25">
      <c r="A2" s="915" t="str">
        <f>'RFPR cover'!C5</f>
        <v>SPMW</v>
      </c>
      <c r="B2" s="907"/>
      <c r="C2" s="134"/>
      <c r="D2" s="29"/>
      <c r="E2" s="29"/>
      <c r="F2" s="29"/>
      <c r="G2" s="29"/>
      <c r="H2" s="29"/>
      <c r="I2" s="27"/>
      <c r="J2" s="27"/>
      <c r="K2" s="27"/>
      <c r="L2" s="123"/>
    </row>
    <row r="3" spans="1:12" s="31" customFormat="1" ht="20.25">
      <c r="A3" s="932">
        <f>'RFPR cover'!C7</f>
        <v>2021</v>
      </c>
      <c r="B3" s="933"/>
      <c r="C3" s="149"/>
      <c r="D3" s="124"/>
      <c r="E3" s="124"/>
      <c r="F3" s="124"/>
      <c r="G3" s="124"/>
      <c r="H3" s="124"/>
      <c r="I3" s="28"/>
      <c r="J3" s="28"/>
      <c r="K3" s="28"/>
      <c r="L3" s="125"/>
    </row>
    <row r="4" spans="1:12" s="2" customFormat="1" ht="12.75" customHeight="1">
      <c r="C4" s="136"/>
    </row>
    <row r="5" spans="1:12" s="2" customFormat="1">
      <c r="B5" s="3"/>
      <c r="C5" s="136"/>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N/A</v>
      </c>
      <c r="K5" s="392"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314</v>
      </c>
      <c r="C8" s="137"/>
      <c r="D8" s="51"/>
      <c r="E8" s="51"/>
      <c r="F8" s="51"/>
      <c r="G8" s="51"/>
      <c r="H8" s="51"/>
      <c r="I8" s="51"/>
      <c r="J8" s="51"/>
      <c r="K8" s="51"/>
      <c r="L8" s="35"/>
    </row>
    <row r="9" spans="1:12" s="2" customFormat="1">
      <c r="B9" s="129" t="s">
        <v>159</v>
      </c>
      <c r="C9" s="152" t="s">
        <v>128</v>
      </c>
      <c r="D9" s="596">
        <v>217.10000000000011</v>
      </c>
      <c r="E9" s="597">
        <v>218.2</v>
      </c>
      <c r="F9" s="597">
        <v>239.49999999999989</v>
      </c>
      <c r="G9" s="597">
        <v>242.1</v>
      </c>
      <c r="H9" s="597">
        <v>290.00000000000011</v>
      </c>
      <c r="I9" s="597">
        <v>265.60000000000025</v>
      </c>
      <c r="J9" s="597"/>
      <c r="K9" s="607"/>
    </row>
    <row r="10" spans="1:12" s="2" customFormat="1">
      <c r="B10" s="129" t="s">
        <v>160</v>
      </c>
      <c r="C10" s="152" t="s">
        <v>128</v>
      </c>
      <c r="D10" s="598">
        <v>0</v>
      </c>
      <c r="E10" s="599">
        <v>0</v>
      </c>
      <c r="F10" s="599">
        <v>0</v>
      </c>
      <c r="G10" s="599">
        <v>0</v>
      </c>
      <c r="H10" s="599">
        <v>0</v>
      </c>
      <c r="I10" s="599">
        <v>0</v>
      </c>
      <c r="J10" s="599"/>
      <c r="K10" s="608"/>
    </row>
    <row r="11" spans="1:12" s="2" customFormat="1" ht="29.25" customHeight="1">
      <c r="B11" s="130" t="s">
        <v>441</v>
      </c>
      <c r="C11" s="152" t="s">
        <v>128</v>
      </c>
      <c r="D11" s="598">
        <v>-0.27114173000000003</v>
      </c>
      <c r="E11" s="599">
        <v>-2.2997429999999999E-2</v>
      </c>
      <c r="F11" s="599">
        <v>-1.3436999999999999E-2</v>
      </c>
      <c r="G11" s="599">
        <v>-1.5489039999999997E-2</v>
      </c>
      <c r="H11" s="599">
        <v>-7.6551399999999995E-3</v>
      </c>
      <c r="I11" s="599">
        <v>-0.74120036</v>
      </c>
      <c r="J11" s="599"/>
      <c r="K11" s="608"/>
    </row>
    <row r="12" spans="1:12" s="2" customFormat="1">
      <c r="B12" s="129" t="s">
        <v>161</v>
      </c>
      <c r="C12" s="152" t="s">
        <v>128</v>
      </c>
      <c r="D12" s="598">
        <v>-38.558308165256335</v>
      </c>
      <c r="E12" s="599">
        <v>-43.9</v>
      </c>
      <c r="F12" s="599">
        <v>-45.800000000000004</v>
      </c>
      <c r="G12" s="599">
        <v>-31.3</v>
      </c>
      <c r="H12" s="599">
        <v>-52.5</v>
      </c>
      <c r="I12" s="599">
        <v>-46.2</v>
      </c>
      <c r="J12" s="599"/>
      <c r="K12" s="608"/>
    </row>
    <row r="13" spans="1:12" s="2" customFormat="1">
      <c r="B13" s="129" t="s">
        <v>162</v>
      </c>
      <c r="C13" s="152" t="s">
        <v>128</v>
      </c>
      <c r="D13" s="598">
        <v>0</v>
      </c>
      <c r="E13" s="599">
        <v>0</v>
      </c>
      <c r="F13" s="599">
        <v>0</v>
      </c>
      <c r="G13" s="599">
        <v>0</v>
      </c>
      <c r="H13" s="599">
        <v>0</v>
      </c>
      <c r="I13" s="599">
        <v>0</v>
      </c>
      <c r="J13" s="599"/>
      <c r="K13" s="608"/>
    </row>
    <row r="14" spans="1:12" s="2" customFormat="1">
      <c r="B14" s="129" t="s">
        <v>163</v>
      </c>
      <c r="C14" s="152" t="s">
        <v>128</v>
      </c>
      <c r="D14" s="634">
        <v>0</v>
      </c>
      <c r="E14" s="635">
        <v>0</v>
      </c>
      <c r="F14" s="635">
        <v>0</v>
      </c>
      <c r="G14" s="635">
        <v>0</v>
      </c>
      <c r="H14" s="635">
        <v>0</v>
      </c>
      <c r="I14" s="635">
        <v>0</v>
      </c>
      <c r="J14" s="635"/>
      <c r="K14" s="636"/>
    </row>
    <row r="15" spans="1:12" s="2" customFormat="1">
      <c r="A15" s="3">
        <v>1</v>
      </c>
      <c r="B15" s="875" t="s">
        <v>592</v>
      </c>
      <c r="C15" s="152" t="s">
        <v>128</v>
      </c>
      <c r="D15" s="596">
        <v>0</v>
      </c>
      <c r="E15" s="597">
        <v>0</v>
      </c>
      <c r="F15" s="597">
        <v>0</v>
      </c>
      <c r="G15" s="597">
        <v>0</v>
      </c>
      <c r="H15" s="597">
        <v>0</v>
      </c>
      <c r="I15" s="597">
        <v>0</v>
      </c>
      <c r="J15" s="597"/>
      <c r="K15" s="607"/>
    </row>
    <row r="16" spans="1:12" s="2" customFormat="1">
      <c r="A16" s="3">
        <v>2</v>
      </c>
      <c r="B16" s="875" t="s">
        <v>593</v>
      </c>
      <c r="C16" s="152" t="s">
        <v>128</v>
      </c>
      <c r="D16" s="598">
        <v>0</v>
      </c>
      <c r="E16" s="599">
        <v>0</v>
      </c>
      <c r="F16" s="599">
        <v>0</v>
      </c>
      <c r="G16" s="599">
        <v>0</v>
      </c>
      <c r="H16" s="599">
        <v>-52</v>
      </c>
      <c r="I16" s="599">
        <v>-56</v>
      </c>
      <c r="J16" s="599"/>
      <c r="K16" s="608"/>
    </row>
    <row r="17" spans="1:11" s="2" customFormat="1">
      <c r="A17" s="3">
        <v>3</v>
      </c>
      <c r="B17" s="875" t="s">
        <v>582</v>
      </c>
      <c r="C17" s="152" t="s">
        <v>128</v>
      </c>
      <c r="D17" s="598">
        <v>0</v>
      </c>
      <c r="E17" s="599">
        <v>0</v>
      </c>
      <c r="F17" s="599">
        <v>0</v>
      </c>
      <c r="G17" s="599">
        <v>0</v>
      </c>
      <c r="H17" s="599">
        <v>0</v>
      </c>
      <c r="I17" s="599">
        <v>0</v>
      </c>
      <c r="J17" s="599"/>
      <c r="K17" s="608"/>
    </row>
    <row r="18" spans="1:11" s="2" customFormat="1">
      <c r="B18" s="12" t="s">
        <v>164</v>
      </c>
      <c r="C18" s="152" t="s">
        <v>128</v>
      </c>
      <c r="D18" s="637">
        <f>SUM(D9:D17)</f>
        <v>178.27055010474376</v>
      </c>
      <c r="E18" s="638">
        <f t="shared" ref="E18:K18" si="1">SUM(E9:E17)</f>
        <v>174.27700256999998</v>
      </c>
      <c r="F18" s="638">
        <f t="shared" si="1"/>
        <v>193.68656299999986</v>
      </c>
      <c r="G18" s="638">
        <f t="shared" si="1"/>
        <v>210.78451095999998</v>
      </c>
      <c r="H18" s="638">
        <f t="shared" si="1"/>
        <v>185.49234486000012</v>
      </c>
      <c r="I18" s="638">
        <f t="shared" si="1"/>
        <v>162.65879964000027</v>
      </c>
      <c r="J18" s="638">
        <f t="shared" si="1"/>
        <v>0</v>
      </c>
      <c r="K18" s="639">
        <f t="shared" si="1"/>
        <v>0</v>
      </c>
    </row>
    <row r="19" spans="1:11" s="2" customFormat="1">
      <c r="B19" s="129" t="s">
        <v>165</v>
      </c>
      <c r="C19" s="152" t="s">
        <v>128</v>
      </c>
      <c r="D19" s="640">
        <v>110.97114173</v>
      </c>
      <c r="E19" s="641">
        <v>118.77224981000001</v>
      </c>
      <c r="F19" s="641">
        <v>128.17400788</v>
      </c>
      <c r="G19" s="641">
        <v>137.31548904000002</v>
      </c>
      <c r="H19" s="641">
        <v>136.87872599000002</v>
      </c>
      <c r="I19" s="641">
        <v>133.42065884999997</v>
      </c>
      <c r="J19" s="641"/>
      <c r="K19" s="642"/>
    </row>
    <row r="20" spans="1:11" s="2" customFormat="1">
      <c r="A20" s="3">
        <v>1</v>
      </c>
      <c r="B20" s="875" t="s">
        <v>582</v>
      </c>
      <c r="C20" s="152" t="s">
        <v>128</v>
      </c>
      <c r="D20" s="596">
        <v>0</v>
      </c>
      <c r="E20" s="597">
        <v>0</v>
      </c>
      <c r="F20" s="597">
        <v>0</v>
      </c>
      <c r="G20" s="597">
        <v>0</v>
      </c>
      <c r="H20" s="597">
        <v>0</v>
      </c>
      <c r="I20" s="597">
        <v>0</v>
      </c>
      <c r="J20" s="597"/>
      <c r="K20" s="607"/>
    </row>
    <row r="21" spans="1:11" s="2" customFormat="1">
      <c r="A21" s="3">
        <v>2</v>
      </c>
      <c r="B21" s="875" t="s">
        <v>582</v>
      </c>
      <c r="C21" s="152" t="s">
        <v>128</v>
      </c>
      <c r="D21" s="598">
        <v>0</v>
      </c>
      <c r="E21" s="599">
        <v>0</v>
      </c>
      <c r="F21" s="599">
        <v>0</v>
      </c>
      <c r="G21" s="599">
        <v>0</v>
      </c>
      <c r="H21" s="599">
        <v>0</v>
      </c>
      <c r="I21" s="599">
        <v>0</v>
      </c>
      <c r="J21" s="599"/>
      <c r="K21" s="608"/>
    </row>
    <row r="22" spans="1:11" s="2" customFormat="1">
      <c r="A22" s="3">
        <v>3</v>
      </c>
      <c r="B22" s="875" t="s">
        <v>582</v>
      </c>
      <c r="C22" s="152" t="s">
        <v>128</v>
      </c>
      <c r="D22" s="598">
        <v>0</v>
      </c>
      <c r="E22" s="599">
        <v>0</v>
      </c>
      <c r="F22" s="599">
        <v>0</v>
      </c>
      <c r="G22" s="599">
        <v>0</v>
      </c>
      <c r="H22" s="599">
        <v>0</v>
      </c>
      <c r="I22" s="599">
        <v>0</v>
      </c>
      <c r="J22" s="599"/>
      <c r="K22" s="608"/>
    </row>
    <row r="23" spans="1:11" s="2" customFormat="1">
      <c r="B23" s="12" t="s">
        <v>166</v>
      </c>
      <c r="C23" s="152" t="s">
        <v>128</v>
      </c>
      <c r="D23" s="612">
        <f>SUM(D18:D22)</f>
        <v>289.24169183474373</v>
      </c>
      <c r="E23" s="613">
        <f t="shared" ref="E23:K23" si="2">SUM(E18:E22)</f>
        <v>293.04925237999998</v>
      </c>
      <c r="F23" s="613">
        <f t="shared" si="2"/>
        <v>321.86057087999984</v>
      </c>
      <c r="G23" s="613">
        <f t="shared" si="2"/>
        <v>348.1</v>
      </c>
      <c r="H23" s="613">
        <f t="shared" si="2"/>
        <v>322.37107085000014</v>
      </c>
      <c r="I23" s="613">
        <f t="shared" si="2"/>
        <v>296.07945849000021</v>
      </c>
      <c r="J23" s="613">
        <f t="shared" si="2"/>
        <v>0</v>
      </c>
      <c r="K23" s="614">
        <f t="shared" si="2"/>
        <v>0</v>
      </c>
    </row>
    <row r="24" spans="1:11" s="2" customFormat="1">
      <c r="C24" s="136"/>
      <c r="D24" s="52"/>
      <c r="E24" s="52"/>
      <c r="F24" s="52"/>
      <c r="G24" s="52"/>
      <c r="H24" s="52"/>
      <c r="I24" s="52"/>
      <c r="J24" s="52"/>
      <c r="K24" s="52"/>
    </row>
    <row r="25" spans="1:11" s="2" customFormat="1">
      <c r="B25" s="12" t="s">
        <v>431</v>
      </c>
      <c r="C25" s="152" t="s">
        <v>128</v>
      </c>
      <c r="D25" s="54"/>
    </row>
    <row r="26" spans="1:11" s="2" customFormat="1">
      <c r="A26" s="3">
        <v>1</v>
      </c>
      <c r="B26" s="521" t="s">
        <v>594</v>
      </c>
      <c r="C26" s="152" t="s">
        <v>128</v>
      </c>
      <c r="D26" s="596">
        <v>-1.2725947103999995</v>
      </c>
      <c r="E26" s="597">
        <v>-0.12774835000000206</v>
      </c>
      <c r="F26" s="597">
        <v>-0.15269653</v>
      </c>
      <c r="G26" s="597">
        <v>-0.43862675000000001</v>
      </c>
      <c r="H26" s="597">
        <v>-5.9173439999999987E-2</v>
      </c>
      <c r="I26" s="597">
        <v>0.10981661</v>
      </c>
      <c r="J26" s="597"/>
      <c r="K26" s="607"/>
    </row>
    <row r="27" spans="1:11" s="2" customFormat="1">
      <c r="A27" s="3">
        <v>2</v>
      </c>
      <c r="B27" s="521" t="s">
        <v>595</v>
      </c>
      <c r="C27" s="152" t="s">
        <v>128</v>
      </c>
      <c r="D27" s="598">
        <v>-3.0612527199999997</v>
      </c>
      <c r="E27" s="599">
        <v>-3.0650671800000007</v>
      </c>
      <c r="F27" s="599">
        <v>-4.2272889972347949</v>
      </c>
      <c r="G27" s="599">
        <v>-6.2903580495067892</v>
      </c>
      <c r="H27" s="599">
        <v>-8.9294440926506145</v>
      </c>
      <c r="I27" s="599">
        <v>-8.6538495295261946</v>
      </c>
      <c r="J27" s="599"/>
      <c r="K27" s="608"/>
    </row>
    <row r="28" spans="1:11" s="2" customFormat="1">
      <c r="A28" s="3">
        <v>3</v>
      </c>
      <c r="B28" s="521" t="s">
        <v>596</v>
      </c>
      <c r="C28" s="152" t="s">
        <v>128</v>
      </c>
      <c r="D28" s="598">
        <v>7.9413361999999985</v>
      </c>
      <c r="E28" s="599">
        <v>5.7945412799999874</v>
      </c>
      <c r="F28" s="599">
        <v>2.9771412100000054</v>
      </c>
      <c r="G28" s="599">
        <v>4.5665237076655627</v>
      </c>
      <c r="H28" s="599">
        <v>4.669699734398634</v>
      </c>
      <c r="I28" s="599">
        <v>8.2166970035279405</v>
      </c>
      <c r="J28" s="599"/>
      <c r="K28" s="608"/>
    </row>
    <row r="29" spans="1:11" s="2" customFormat="1">
      <c r="A29" s="3">
        <v>4</v>
      </c>
      <c r="B29" s="521" t="s">
        <v>597</v>
      </c>
      <c r="C29" s="152" t="s">
        <v>128</v>
      </c>
      <c r="D29" s="598">
        <v>0.44727467415850808</v>
      </c>
      <c r="E29" s="599">
        <v>-3.016859365539216</v>
      </c>
      <c r="F29" s="599">
        <v>-7.1171666284258279</v>
      </c>
      <c r="G29" s="599">
        <v>0</v>
      </c>
      <c r="H29" s="599">
        <v>0</v>
      </c>
      <c r="I29" s="599">
        <v>0</v>
      </c>
      <c r="J29" s="599"/>
      <c r="K29" s="608"/>
    </row>
    <row r="30" spans="1:11" s="2" customFormat="1">
      <c r="A30" s="3">
        <v>5</v>
      </c>
      <c r="B30" s="521" t="s">
        <v>598</v>
      </c>
      <c r="C30" s="152" t="s">
        <v>128</v>
      </c>
      <c r="D30" s="598">
        <v>0.12136</v>
      </c>
      <c r="E30" s="599">
        <v>0.18692</v>
      </c>
      <c r="F30" s="599">
        <v>0.15716000000000002</v>
      </c>
      <c r="G30" s="599">
        <v>0</v>
      </c>
      <c r="H30" s="599">
        <v>0</v>
      </c>
      <c r="I30" s="599">
        <v>0</v>
      </c>
      <c r="J30" s="599"/>
      <c r="K30" s="608"/>
    </row>
    <row r="31" spans="1:11" s="2" customFormat="1">
      <c r="A31" s="3">
        <v>6</v>
      </c>
      <c r="B31" s="521" t="s">
        <v>599</v>
      </c>
      <c r="C31" s="152" t="s">
        <v>128</v>
      </c>
      <c r="D31" s="598">
        <v>7.2876599457781577</v>
      </c>
      <c r="E31" s="599">
        <v>8.8726575385036668</v>
      </c>
      <c r="F31" s="599">
        <v>7.0763546736125464</v>
      </c>
      <c r="G31" s="599">
        <v>1.9503317665111293</v>
      </c>
      <c r="H31" s="599">
        <v>1.0717671655005296</v>
      </c>
      <c r="I31" s="599">
        <v>2.0703191185351062</v>
      </c>
      <c r="J31" s="599"/>
      <c r="K31" s="608"/>
    </row>
    <row r="32" spans="1:11" s="2" customFormat="1">
      <c r="A32" s="3">
        <v>7</v>
      </c>
      <c r="B32" s="521" t="s">
        <v>600</v>
      </c>
      <c r="C32" s="152" t="s">
        <v>128</v>
      </c>
      <c r="D32" s="598">
        <v>25.062000000000001</v>
      </c>
      <c r="E32" s="599">
        <v>31.649726066520856</v>
      </c>
      <c r="F32" s="599">
        <v>32.010985783334355</v>
      </c>
      <c r="G32" s="599">
        <v>33.259414228884395</v>
      </c>
      <c r="H32" s="599">
        <v>35.269880169821555</v>
      </c>
      <c r="I32" s="599">
        <v>36.319057404641669</v>
      </c>
      <c r="J32" s="599"/>
      <c r="K32" s="608"/>
    </row>
    <row r="33" spans="1:11" s="2" customFormat="1">
      <c r="A33" s="3">
        <v>8</v>
      </c>
      <c r="B33" s="521" t="s">
        <v>601</v>
      </c>
      <c r="C33" s="152" t="s">
        <v>128</v>
      </c>
      <c r="D33" s="598">
        <v>8.0000000000000682E-2</v>
      </c>
      <c r="E33" s="599">
        <v>0.98050342564271897</v>
      </c>
      <c r="F33" s="599">
        <v>2.7938477740857195</v>
      </c>
      <c r="G33" s="599">
        <v>-0.15930215000000003</v>
      </c>
      <c r="H33" s="599">
        <v>0.12362493999999995</v>
      </c>
      <c r="I33" s="599">
        <v>0.43313723874999976</v>
      </c>
      <c r="J33" s="599"/>
      <c r="K33" s="608"/>
    </row>
    <row r="34" spans="1:11" s="2" customFormat="1">
      <c r="A34" s="3">
        <v>9</v>
      </c>
      <c r="B34" s="521" t="s">
        <v>602</v>
      </c>
      <c r="C34" s="152" t="s">
        <v>128</v>
      </c>
      <c r="D34" s="598">
        <v>-1.1274653099999992</v>
      </c>
      <c r="E34" s="599">
        <v>0</v>
      </c>
      <c r="F34" s="599">
        <v>0</v>
      </c>
      <c r="G34" s="599">
        <v>-3.7482993900000001</v>
      </c>
      <c r="H34" s="599">
        <v>1.0021147200000002</v>
      </c>
      <c r="I34" s="599">
        <v>9.7516929999999696E-2</v>
      </c>
      <c r="J34" s="599"/>
      <c r="K34" s="608"/>
    </row>
    <row r="35" spans="1:11" s="2" customFormat="1">
      <c r="A35" s="3">
        <v>10</v>
      </c>
      <c r="B35" s="521" t="s">
        <v>603</v>
      </c>
      <c r="C35" s="152" t="s">
        <v>128</v>
      </c>
      <c r="D35" s="598">
        <v>0</v>
      </c>
      <c r="E35" s="599">
        <v>0</v>
      </c>
      <c r="F35" s="599">
        <v>0</v>
      </c>
      <c r="G35" s="599">
        <v>-0.39300000000000002</v>
      </c>
      <c r="H35" s="599">
        <v>-0.86547162</v>
      </c>
      <c r="I35" s="599">
        <v>-0.41107933000000002</v>
      </c>
      <c r="J35" s="599"/>
      <c r="K35" s="608"/>
    </row>
    <row r="36" spans="1:11" s="2" customFormat="1">
      <c r="A36" s="3">
        <v>11</v>
      </c>
      <c r="B36" s="521" t="s">
        <v>604</v>
      </c>
      <c r="C36" s="152" t="s">
        <v>128</v>
      </c>
      <c r="D36" s="598">
        <v>0</v>
      </c>
      <c r="E36" s="599">
        <v>0</v>
      </c>
      <c r="F36" s="599">
        <v>0</v>
      </c>
      <c r="G36" s="599">
        <v>0</v>
      </c>
      <c r="H36" s="599">
        <v>2.0238734300000001</v>
      </c>
      <c r="I36" s="599">
        <v>1.1319833089282645</v>
      </c>
      <c r="J36" s="599"/>
      <c r="K36" s="608"/>
    </row>
    <row r="37" spans="1:11" s="2" customFormat="1">
      <c r="A37" s="3">
        <v>12</v>
      </c>
      <c r="B37" s="521" t="s">
        <v>605</v>
      </c>
      <c r="C37" s="152" t="s">
        <v>128</v>
      </c>
      <c r="D37" s="598">
        <v>0</v>
      </c>
      <c r="E37" s="599">
        <v>0</v>
      </c>
      <c r="F37" s="599">
        <v>0</v>
      </c>
      <c r="G37" s="599">
        <v>0</v>
      </c>
      <c r="H37" s="599">
        <v>0</v>
      </c>
      <c r="I37" s="599">
        <v>2.757454945605744</v>
      </c>
      <c r="J37" s="599"/>
      <c r="K37" s="608"/>
    </row>
    <row r="38" spans="1:11" s="2" customFormat="1">
      <c r="A38" s="3">
        <v>13</v>
      </c>
      <c r="B38" s="521" t="s">
        <v>582</v>
      </c>
      <c r="C38" s="152" t="s">
        <v>128</v>
      </c>
      <c r="D38" s="598">
        <v>0</v>
      </c>
      <c r="E38" s="599">
        <v>0</v>
      </c>
      <c r="F38" s="599">
        <v>0</v>
      </c>
      <c r="G38" s="599">
        <v>0</v>
      </c>
      <c r="H38" s="599">
        <v>0</v>
      </c>
      <c r="I38" s="599">
        <v>0</v>
      </c>
      <c r="J38" s="599"/>
      <c r="K38" s="608"/>
    </row>
    <row r="39" spans="1:11" s="2" customFormat="1">
      <c r="A39" s="3">
        <v>14</v>
      </c>
      <c r="B39" s="521" t="s">
        <v>582</v>
      </c>
      <c r="C39" s="152" t="s">
        <v>128</v>
      </c>
      <c r="D39" s="598">
        <v>0</v>
      </c>
      <c r="E39" s="599">
        <v>0</v>
      </c>
      <c r="F39" s="599">
        <v>0</v>
      </c>
      <c r="G39" s="599">
        <v>0</v>
      </c>
      <c r="H39" s="599">
        <v>0</v>
      </c>
      <c r="I39" s="599">
        <v>0</v>
      </c>
      <c r="J39" s="599"/>
      <c r="K39" s="608"/>
    </row>
    <row r="40" spans="1:11" s="2" customFormat="1">
      <c r="A40" s="3">
        <v>15</v>
      </c>
      <c r="B40" s="521" t="s">
        <v>582</v>
      </c>
      <c r="C40" s="152" t="s">
        <v>128</v>
      </c>
      <c r="D40" s="598">
        <v>0</v>
      </c>
      <c r="E40" s="599">
        <v>0</v>
      </c>
      <c r="F40" s="599">
        <v>0</v>
      </c>
      <c r="G40" s="599">
        <v>0</v>
      </c>
      <c r="H40" s="599">
        <v>0</v>
      </c>
      <c r="I40" s="599">
        <v>0</v>
      </c>
      <c r="J40" s="599"/>
      <c r="K40" s="608"/>
    </row>
    <row r="41" spans="1:11" s="2" customFormat="1">
      <c r="A41" s="3">
        <v>16</v>
      </c>
      <c r="B41" s="521" t="s">
        <v>582</v>
      </c>
      <c r="C41" s="152" t="s">
        <v>128</v>
      </c>
      <c r="D41" s="598">
        <v>0</v>
      </c>
      <c r="E41" s="599">
        <v>0</v>
      </c>
      <c r="F41" s="599">
        <v>0</v>
      </c>
      <c r="G41" s="599">
        <v>0</v>
      </c>
      <c r="H41" s="599">
        <v>0</v>
      </c>
      <c r="I41" s="599">
        <v>0</v>
      </c>
      <c r="J41" s="599"/>
      <c r="K41" s="608"/>
    </row>
    <row r="42" spans="1:11" s="2" customFormat="1">
      <c r="A42" s="3">
        <v>17</v>
      </c>
      <c r="B42" s="521" t="s">
        <v>582</v>
      </c>
      <c r="C42" s="152" t="s">
        <v>128</v>
      </c>
      <c r="D42" s="598">
        <v>0</v>
      </c>
      <c r="E42" s="599">
        <v>0</v>
      </c>
      <c r="F42" s="599">
        <v>0</v>
      </c>
      <c r="G42" s="599">
        <v>0</v>
      </c>
      <c r="H42" s="599">
        <v>0</v>
      </c>
      <c r="I42" s="599">
        <v>0</v>
      </c>
      <c r="J42" s="599"/>
      <c r="K42" s="608"/>
    </row>
    <row r="43" spans="1:11" s="2" customFormat="1">
      <c r="A43" s="3">
        <v>18</v>
      </c>
      <c r="B43" s="521" t="s">
        <v>582</v>
      </c>
      <c r="C43" s="152" t="s">
        <v>128</v>
      </c>
      <c r="D43" s="598">
        <v>0</v>
      </c>
      <c r="E43" s="599">
        <v>0</v>
      </c>
      <c r="F43" s="599">
        <v>0</v>
      </c>
      <c r="G43" s="599">
        <v>0</v>
      </c>
      <c r="H43" s="599">
        <v>0</v>
      </c>
      <c r="I43" s="599">
        <v>0</v>
      </c>
      <c r="J43" s="599"/>
      <c r="K43" s="608"/>
    </row>
    <row r="44" spans="1:11" s="2" customFormat="1">
      <c r="A44" s="3">
        <v>19</v>
      </c>
      <c r="B44" s="521" t="s">
        <v>582</v>
      </c>
      <c r="C44" s="152" t="s">
        <v>128</v>
      </c>
      <c r="D44" s="598">
        <v>0</v>
      </c>
      <c r="E44" s="599">
        <v>0</v>
      </c>
      <c r="F44" s="599">
        <v>0</v>
      </c>
      <c r="G44" s="599">
        <v>0</v>
      </c>
      <c r="H44" s="599">
        <v>0</v>
      </c>
      <c r="I44" s="599">
        <v>0</v>
      </c>
      <c r="J44" s="599"/>
      <c r="K44" s="608"/>
    </row>
    <row r="45" spans="1:11" s="2" customFormat="1">
      <c r="A45" s="3">
        <v>20</v>
      </c>
      <c r="B45" s="521" t="s">
        <v>582</v>
      </c>
      <c r="C45" s="152" t="s">
        <v>128</v>
      </c>
      <c r="D45" s="598">
        <v>0</v>
      </c>
      <c r="E45" s="599">
        <v>0</v>
      </c>
      <c r="F45" s="599">
        <v>0</v>
      </c>
      <c r="G45" s="599">
        <v>0</v>
      </c>
      <c r="H45" s="599">
        <v>0</v>
      </c>
      <c r="I45" s="599">
        <v>0</v>
      </c>
      <c r="J45" s="599"/>
      <c r="K45" s="608"/>
    </row>
    <row r="46" spans="1:11" s="2" customFormat="1">
      <c r="B46" s="12" t="s">
        <v>384</v>
      </c>
      <c r="C46" s="152" t="s">
        <v>128</v>
      </c>
      <c r="D46" s="612">
        <f>SUM(D26:D45)</f>
        <v>35.47831807953667</v>
      </c>
      <c r="E46" s="613">
        <f t="shared" ref="E46:K46" si="3">SUM(E26:E45)</f>
        <v>41.274673415128007</v>
      </c>
      <c r="F46" s="613">
        <f t="shared" si="3"/>
        <v>33.518337285371999</v>
      </c>
      <c r="G46" s="613">
        <f t="shared" si="3"/>
        <v>28.746683363554297</v>
      </c>
      <c r="H46" s="613">
        <f t="shared" si="3"/>
        <v>34.306871007070107</v>
      </c>
      <c r="I46" s="613">
        <f t="shared" si="3"/>
        <v>42.071053700462521</v>
      </c>
      <c r="J46" s="613">
        <f t="shared" si="3"/>
        <v>0</v>
      </c>
      <c r="K46" s="614">
        <f t="shared" si="3"/>
        <v>0</v>
      </c>
    </row>
    <row r="47" spans="1:11" s="2" customFormat="1">
      <c r="C47" s="136"/>
      <c r="D47" s="53"/>
      <c r="E47" s="52"/>
      <c r="F47" s="52"/>
      <c r="G47" s="52"/>
      <c r="H47" s="52"/>
      <c r="I47" s="52"/>
      <c r="J47" s="52"/>
      <c r="K47" s="52"/>
    </row>
    <row r="48" spans="1:11" s="2" customFormat="1">
      <c r="B48" s="12" t="s">
        <v>430</v>
      </c>
      <c r="C48" s="152" t="s">
        <v>128</v>
      </c>
      <c r="D48" s="612">
        <f>D46+D23</f>
        <v>324.72000991428041</v>
      </c>
      <c r="E48" s="613">
        <f t="shared" ref="E48:K48" si="4">E46+E23</f>
        <v>334.32392579512799</v>
      </c>
      <c r="F48" s="613">
        <f t="shared" si="4"/>
        <v>355.37890816537185</v>
      </c>
      <c r="G48" s="613">
        <f t="shared" si="4"/>
        <v>376.84668336355435</v>
      </c>
      <c r="H48" s="613">
        <f t="shared" si="4"/>
        <v>356.67794185707027</v>
      </c>
      <c r="I48" s="613">
        <f t="shared" si="4"/>
        <v>338.15051219046273</v>
      </c>
      <c r="J48" s="613">
        <f t="shared" si="4"/>
        <v>0</v>
      </c>
      <c r="K48" s="614">
        <f t="shared" si="4"/>
        <v>0</v>
      </c>
    </row>
    <row r="49" spans="1:11" s="2" customFormat="1">
      <c r="B49" s="2" t="s">
        <v>385</v>
      </c>
      <c r="C49" s="152" t="s">
        <v>128</v>
      </c>
      <c r="D49" s="596">
        <v>324.82453920775185</v>
      </c>
      <c r="E49" s="597">
        <v>334.32392575512796</v>
      </c>
      <c r="F49" s="597">
        <v>355.3832619574834</v>
      </c>
      <c r="G49" s="597">
        <v>376.84668336355435</v>
      </c>
      <c r="H49" s="597">
        <v>356.67794185707015</v>
      </c>
      <c r="I49" s="597">
        <v>338.15060067401481</v>
      </c>
      <c r="J49" s="597"/>
      <c r="K49" s="607"/>
    </row>
    <row r="50" spans="1:11" s="2" customFormat="1">
      <c r="C50" s="136" t="s">
        <v>388</v>
      </c>
      <c r="D50" s="643" t="str">
        <f>IF(D$5="Actuals",IF(ABS(D48-D49)&lt;1,"OK","ERROR"),"N/A")</f>
        <v>OK</v>
      </c>
      <c r="E50" s="644" t="str">
        <f t="shared" ref="E50:K50" si="5">IF(E$5="Actuals",IF(ABS(E48-E49)&lt;1,"OK","ERROR"),"N/A")</f>
        <v>OK</v>
      </c>
      <c r="F50" s="644" t="str">
        <f t="shared" si="5"/>
        <v>OK</v>
      </c>
      <c r="G50" s="644" t="str">
        <f t="shared" si="5"/>
        <v>OK</v>
      </c>
      <c r="H50" s="644" t="str">
        <f t="shared" si="5"/>
        <v>OK</v>
      </c>
      <c r="I50" s="644" t="str">
        <f t="shared" si="5"/>
        <v>OK</v>
      </c>
      <c r="J50" s="644" t="str">
        <f t="shared" si="5"/>
        <v>N/A</v>
      </c>
      <c r="K50" s="645" t="str">
        <f t="shared" si="5"/>
        <v>N/A</v>
      </c>
    </row>
    <row r="51" spans="1:11" s="2" customFormat="1">
      <c r="B51" s="2" t="s">
        <v>84</v>
      </c>
      <c r="C51" s="136"/>
      <c r="D51" s="54"/>
    </row>
    <row r="52" spans="1:11" s="2" customFormat="1">
      <c r="B52" s="12" t="s">
        <v>386</v>
      </c>
      <c r="C52" s="152"/>
      <c r="D52" s="54"/>
    </row>
    <row r="53" spans="1:11" s="2" customFormat="1">
      <c r="A53" s="3">
        <v>1</v>
      </c>
      <c r="B53" s="520" t="s">
        <v>606</v>
      </c>
      <c r="C53" s="152" t="s">
        <v>128</v>
      </c>
      <c r="D53" s="596">
        <v>34.523877677293846</v>
      </c>
      <c r="E53" s="597">
        <v>34.899489626000005</v>
      </c>
      <c r="F53" s="597">
        <v>41.869719822414872</v>
      </c>
      <c r="G53" s="597">
        <v>43.914456453462691</v>
      </c>
      <c r="H53" s="597">
        <v>44.82055787650404</v>
      </c>
      <c r="I53" s="597">
        <v>49.976566565776601</v>
      </c>
      <c r="J53" s="597"/>
      <c r="K53" s="607"/>
    </row>
    <row r="54" spans="1:11" s="2" customFormat="1">
      <c r="A54" s="3">
        <v>2</v>
      </c>
      <c r="B54" s="520" t="s">
        <v>607</v>
      </c>
      <c r="C54" s="152" t="s">
        <v>128</v>
      </c>
      <c r="D54" s="598">
        <v>23.847019660000001</v>
      </c>
      <c r="E54" s="599">
        <v>25.124262629150838</v>
      </c>
      <c r="F54" s="599">
        <v>32.20991271645029</v>
      </c>
      <c r="G54" s="599">
        <v>30.788288774681842</v>
      </c>
      <c r="H54" s="599">
        <v>31.26104407413634</v>
      </c>
      <c r="I54" s="599">
        <v>31.41669183677995</v>
      </c>
      <c r="J54" s="599"/>
      <c r="K54" s="608"/>
    </row>
    <row r="55" spans="1:11" s="2" customFormat="1">
      <c r="A55" s="3">
        <v>3</v>
      </c>
      <c r="B55" s="520" t="s">
        <v>608</v>
      </c>
      <c r="C55" s="152" t="s">
        <v>128</v>
      </c>
      <c r="D55" s="598">
        <v>14.24716676039551</v>
      </c>
      <c r="E55" s="599">
        <v>5.7805177945473751</v>
      </c>
      <c r="F55" s="599">
        <v>-0.54203200340354452</v>
      </c>
      <c r="G55" s="599">
        <v>8.0688864867740513</v>
      </c>
      <c r="H55" s="599">
        <v>3.7289154080144558</v>
      </c>
      <c r="I55" s="599">
        <v>2.3020469062759061</v>
      </c>
      <c r="J55" s="599"/>
      <c r="K55" s="608"/>
    </row>
    <row r="56" spans="1:11" s="2" customFormat="1">
      <c r="A56" s="3">
        <v>4</v>
      </c>
      <c r="B56" s="520" t="s">
        <v>609</v>
      </c>
      <c r="C56" s="152" t="s">
        <v>128</v>
      </c>
      <c r="D56" s="598">
        <v>9.5052676736637913</v>
      </c>
      <c r="E56" s="599">
        <v>10.019888008759748</v>
      </c>
      <c r="F56" s="599">
        <v>9.113505858643407</v>
      </c>
      <c r="G56" s="599">
        <v>1.02897091</v>
      </c>
      <c r="H56" s="599">
        <v>1.1229749</v>
      </c>
      <c r="I56" s="599">
        <v>1.1256238599999999</v>
      </c>
      <c r="J56" s="599"/>
      <c r="K56" s="608"/>
    </row>
    <row r="57" spans="1:11" s="2" customFormat="1">
      <c r="A57" s="3">
        <v>5</v>
      </c>
      <c r="B57" s="520" t="s">
        <v>610</v>
      </c>
      <c r="C57" s="152" t="s">
        <v>128</v>
      </c>
      <c r="D57" s="598">
        <v>1.6488479910158671</v>
      </c>
      <c r="E57" s="599">
        <v>1.663143644914447</v>
      </c>
      <c r="F57" s="599">
        <v>1.8188116875589717</v>
      </c>
      <c r="G57" s="599">
        <v>1.692788261507455</v>
      </c>
      <c r="H57" s="599">
        <v>2.8823801607531818</v>
      </c>
      <c r="I57" s="599">
        <v>2.2846836879668575</v>
      </c>
      <c r="J57" s="599"/>
      <c r="K57" s="608"/>
    </row>
    <row r="58" spans="1:11" s="2" customFormat="1">
      <c r="A58" s="3">
        <v>6</v>
      </c>
      <c r="B58" s="520" t="s">
        <v>611</v>
      </c>
      <c r="C58" s="152" t="s">
        <v>128</v>
      </c>
      <c r="D58" s="598">
        <v>0.27114172999999997</v>
      </c>
      <c r="E58" s="599">
        <v>2.2997429999999999E-2</v>
      </c>
      <c r="F58" s="599">
        <v>1.3436999999999999E-2</v>
      </c>
      <c r="G58" s="599">
        <v>2.3E-2</v>
      </c>
      <c r="H58" s="599">
        <v>0.25273956000000003</v>
      </c>
      <c r="I58" s="599">
        <v>0.93293609000000011</v>
      </c>
      <c r="J58" s="599"/>
      <c r="K58" s="608"/>
    </row>
    <row r="59" spans="1:11" s="2" customFormat="1">
      <c r="A59" s="3">
        <v>7</v>
      </c>
      <c r="B59" s="520" t="s">
        <v>612</v>
      </c>
      <c r="C59" s="152" t="s">
        <v>128</v>
      </c>
      <c r="D59" s="598">
        <v>0.46533014</v>
      </c>
      <c r="E59" s="599">
        <v>0.19975195999999998</v>
      </c>
      <c r="F59" s="599">
        <v>0.45713994000000002</v>
      </c>
      <c r="G59" s="599">
        <v>0.38951565999999999</v>
      </c>
      <c r="H59" s="599">
        <v>0.29453993000000006</v>
      </c>
      <c r="I59" s="599">
        <v>0.40226605999999998</v>
      </c>
      <c r="J59" s="599"/>
      <c r="K59" s="608"/>
    </row>
    <row r="60" spans="1:11" s="2" customFormat="1">
      <c r="A60" s="3">
        <v>8</v>
      </c>
      <c r="B60" s="520" t="s">
        <v>613</v>
      </c>
      <c r="C60" s="152" t="s">
        <v>128</v>
      </c>
      <c r="D60" s="598">
        <v>0</v>
      </c>
      <c r="E60" s="599">
        <v>0</v>
      </c>
      <c r="F60" s="599">
        <v>0</v>
      </c>
      <c r="G60" s="599">
        <v>0</v>
      </c>
      <c r="H60" s="599">
        <v>0</v>
      </c>
      <c r="I60" s="599">
        <v>0</v>
      </c>
      <c r="J60" s="599"/>
      <c r="K60" s="608"/>
    </row>
    <row r="61" spans="1:11" s="2" customFormat="1">
      <c r="A61" s="3">
        <v>9</v>
      </c>
      <c r="B61" s="520" t="s">
        <v>582</v>
      </c>
      <c r="C61" s="152" t="s">
        <v>128</v>
      </c>
      <c r="D61" s="598">
        <v>0</v>
      </c>
      <c r="E61" s="599">
        <v>0</v>
      </c>
      <c r="F61" s="599">
        <v>0</v>
      </c>
      <c r="G61" s="599">
        <v>0</v>
      </c>
      <c r="H61" s="599">
        <v>0</v>
      </c>
      <c r="I61" s="599">
        <v>0</v>
      </c>
      <c r="J61" s="599"/>
      <c r="K61" s="608"/>
    </row>
    <row r="62" spans="1:11" s="2" customFormat="1">
      <c r="A62" s="3">
        <v>10</v>
      </c>
      <c r="B62" s="520" t="s">
        <v>582</v>
      </c>
      <c r="C62" s="152" t="s">
        <v>128</v>
      </c>
      <c r="D62" s="598">
        <v>0</v>
      </c>
      <c r="E62" s="599">
        <v>0</v>
      </c>
      <c r="F62" s="599">
        <v>0</v>
      </c>
      <c r="G62" s="599">
        <v>0</v>
      </c>
      <c r="H62" s="599">
        <v>0</v>
      </c>
      <c r="I62" s="599">
        <v>0</v>
      </c>
      <c r="J62" s="599"/>
      <c r="K62" s="608"/>
    </row>
    <row r="63" spans="1:11" s="2" customFormat="1">
      <c r="A63" s="3">
        <v>11</v>
      </c>
      <c r="B63" s="520" t="s">
        <v>582</v>
      </c>
      <c r="C63" s="152" t="s">
        <v>128</v>
      </c>
      <c r="D63" s="598">
        <v>0</v>
      </c>
      <c r="E63" s="599">
        <v>0</v>
      </c>
      <c r="F63" s="599">
        <v>0</v>
      </c>
      <c r="G63" s="599">
        <v>0</v>
      </c>
      <c r="H63" s="599">
        <v>0</v>
      </c>
      <c r="I63" s="599">
        <v>0</v>
      </c>
      <c r="J63" s="599"/>
      <c r="K63" s="608"/>
    </row>
    <row r="64" spans="1:11" s="2" customFormat="1">
      <c r="A64" s="3">
        <v>12</v>
      </c>
      <c r="B64" s="520" t="s">
        <v>582</v>
      </c>
      <c r="C64" s="152" t="s">
        <v>128</v>
      </c>
      <c r="D64" s="598">
        <v>0</v>
      </c>
      <c r="E64" s="599">
        <v>0</v>
      </c>
      <c r="F64" s="599">
        <v>0</v>
      </c>
      <c r="G64" s="599">
        <v>0</v>
      </c>
      <c r="H64" s="599">
        <v>0</v>
      </c>
      <c r="I64" s="599">
        <v>0</v>
      </c>
      <c r="J64" s="599"/>
      <c r="K64" s="608"/>
    </row>
    <row r="65" spans="1:11" s="2" customFormat="1">
      <c r="A65" s="3">
        <v>13</v>
      </c>
      <c r="B65" s="520" t="s">
        <v>582</v>
      </c>
      <c r="C65" s="152" t="s">
        <v>128</v>
      </c>
      <c r="D65" s="598">
        <v>0</v>
      </c>
      <c r="E65" s="599">
        <v>0</v>
      </c>
      <c r="F65" s="599">
        <v>0</v>
      </c>
      <c r="G65" s="599">
        <v>0</v>
      </c>
      <c r="H65" s="599">
        <v>0</v>
      </c>
      <c r="I65" s="599">
        <v>0</v>
      </c>
      <c r="J65" s="599"/>
      <c r="K65" s="608"/>
    </row>
    <row r="66" spans="1:11" s="2" customFormat="1">
      <c r="A66" s="3">
        <v>14</v>
      </c>
      <c r="B66" s="520" t="s">
        <v>582</v>
      </c>
      <c r="C66" s="152" t="s">
        <v>128</v>
      </c>
      <c r="D66" s="598">
        <v>0</v>
      </c>
      <c r="E66" s="599">
        <v>0</v>
      </c>
      <c r="F66" s="599">
        <v>0</v>
      </c>
      <c r="G66" s="599">
        <v>0</v>
      </c>
      <c r="H66" s="599">
        <v>0</v>
      </c>
      <c r="I66" s="599">
        <v>0</v>
      </c>
      <c r="J66" s="599"/>
      <c r="K66" s="608"/>
    </row>
    <row r="67" spans="1:11" s="2" customFormat="1">
      <c r="A67" s="3">
        <v>15</v>
      </c>
      <c r="B67" s="520" t="s">
        <v>582</v>
      </c>
      <c r="C67" s="152" t="s">
        <v>128</v>
      </c>
      <c r="D67" s="598">
        <v>0</v>
      </c>
      <c r="E67" s="599">
        <v>0</v>
      </c>
      <c r="F67" s="599">
        <v>0</v>
      </c>
      <c r="G67" s="599">
        <v>0</v>
      </c>
      <c r="H67" s="599">
        <v>0</v>
      </c>
      <c r="I67" s="599">
        <v>0</v>
      </c>
      <c r="J67" s="599"/>
      <c r="K67" s="608"/>
    </row>
    <row r="68" spans="1:11" s="2" customFormat="1">
      <c r="A68" s="3">
        <v>16</v>
      </c>
      <c r="B68" s="520" t="s">
        <v>582</v>
      </c>
      <c r="C68" s="152" t="s">
        <v>128</v>
      </c>
      <c r="D68" s="598">
        <v>0</v>
      </c>
      <c r="E68" s="599">
        <v>0</v>
      </c>
      <c r="F68" s="599">
        <v>0</v>
      </c>
      <c r="G68" s="599">
        <v>0</v>
      </c>
      <c r="H68" s="599">
        <v>0</v>
      </c>
      <c r="I68" s="599">
        <v>0</v>
      </c>
      <c r="J68" s="599"/>
      <c r="K68" s="608"/>
    </row>
    <row r="69" spans="1:11" s="2" customFormat="1">
      <c r="A69" s="3">
        <v>17</v>
      </c>
      <c r="B69" s="520" t="s">
        <v>582</v>
      </c>
      <c r="C69" s="152" t="s">
        <v>128</v>
      </c>
      <c r="D69" s="598">
        <v>0</v>
      </c>
      <c r="E69" s="599">
        <v>0</v>
      </c>
      <c r="F69" s="599">
        <v>0</v>
      </c>
      <c r="G69" s="599">
        <v>0</v>
      </c>
      <c r="H69" s="599">
        <v>0</v>
      </c>
      <c r="I69" s="599">
        <v>0</v>
      </c>
      <c r="J69" s="599"/>
      <c r="K69" s="608"/>
    </row>
    <row r="70" spans="1:11" s="2" customFormat="1">
      <c r="A70" s="3">
        <v>18</v>
      </c>
      <c r="B70" s="520" t="s">
        <v>582</v>
      </c>
      <c r="C70" s="152" t="s">
        <v>128</v>
      </c>
      <c r="D70" s="598">
        <v>0</v>
      </c>
      <c r="E70" s="599">
        <v>0</v>
      </c>
      <c r="F70" s="599">
        <v>0</v>
      </c>
      <c r="G70" s="599">
        <v>0</v>
      </c>
      <c r="H70" s="599">
        <v>0</v>
      </c>
      <c r="I70" s="599">
        <v>0</v>
      </c>
      <c r="J70" s="599"/>
      <c r="K70" s="608"/>
    </row>
    <row r="71" spans="1:11" s="2" customFormat="1">
      <c r="A71" s="3">
        <v>19</v>
      </c>
      <c r="B71" s="520" t="s">
        <v>582</v>
      </c>
      <c r="C71" s="152" t="s">
        <v>128</v>
      </c>
      <c r="D71" s="598">
        <v>0</v>
      </c>
      <c r="E71" s="599">
        <v>0</v>
      </c>
      <c r="F71" s="599">
        <v>0</v>
      </c>
      <c r="G71" s="599">
        <v>0</v>
      </c>
      <c r="H71" s="599">
        <v>0</v>
      </c>
      <c r="I71" s="599">
        <v>0</v>
      </c>
      <c r="J71" s="599"/>
      <c r="K71" s="608"/>
    </row>
    <row r="72" spans="1:11" s="2" customFormat="1">
      <c r="A72" s="3">
        <v>20</v>
      </c>
      <c r="B72" s="520" t="s">
        <v>582</v>
      </c>
      <c r="C72" s="152" t="s">
        <v>128</v>
      </c>
      <c r="D72" s="598">
        <v>0</v>
      </c>
      <c r="E72" s="599">
        <v>0</v>
      </c>
      <c r="F72" s="599">
        <v>0</v>
      </c>
      <c r="G72" s="599">
        <v>0</v>
      </c>
      <c r="H72" s="599">
        <v>0</v>
      </c>
      <c r="I72" s="599">
        <v>0</v>
      </c>
      <c r="J72" s="599"/>
      <c r="K72" s="608"/>
    </row>
    <row r="73" spans="1:11" s="2" customFormat="1">
      <c r="A73" s="3">
        <v>21</v>
      </c>
      <c r="B73" s="520" t="s">
        <v>582</v>
      </c>
      <c r="C73" s="152" t="s">
        <v>128</v>
      </c>
      <c r="D73" s="598">
        <v>0</v>
      </c>
      <c r="E73" s="599">
        <v>0</v>
      </c>
      <c r="F73" s="599">
        <v>0</v>
      </c>
      <c r="G73" s="599">
        <v>0</v>
      </c>
      <c r="H73" s="599">
        <v>0</v>
      </c>
      <c r="I73" s="599">
        <v>0</v>
      </c>
      <c r="J73" s="599"/>
      <c r="K73" s="608"/>
    </row>
    <row r="74" spans="1:11" s="2" customFormat="1">
      <c r="A74" s="3">
        <v>22</v>
      </c>
      <c r="B74" s="520" t="s">
        <v>582</v>
      </c>
      <c r="C74" s="152" t="s">
        <v>128</v>
      </c>
      <c r="D74" s="598">
        <v>0</v>
      </c>
      <c r="E74" s="599">
        <v>0</v>
      </c>
      <c r="F74" s="599">
        <v>0</v>
      </c>
      <c r="G74" s="599">
        <v>0</v>
      </c>
      <c r="H74" s="599">
        <v>0</v>
      </c>
      <c r="I74" s="599">
        <v>0</v>
      </c>
      <c r="J74" s="599"/>
      <c r="K74" s="608"/>
    </row>
    <row r="75" spans="1:11" s="2" customFormat="1">
      <c r="A75" s="3">
        <v>23</v>
      </c>
      <c r="B75" s="520" t="s">
        <v>582</v>
      </c>
      <c r="C75" s="152" t="s">
        <v>128</v>
      </c>
      <c r="D75" s="598">
        <v>0</v>
      </c>
      <c r="E75" s="599">
        <v>0</v>
      </c>
      <c r="F75" s="599">
        <v>0</v>
      </c>
      <c r="G75" s="599">
        <v>0</v>
      </c>
      <c r="H75" s="599">
        <v>0</v>
      </c>
      <c r="I75" s="599">
        <v>0</v>
      </c>
      <c r="J75" s="599"/>
      <c r="K75" s="608"/>
    </row>
    <row r="76" spans="1:11" s="2" customFormat="1">
      <c r="A76" s="3">
        <v>24</v>
      </c>
      <c r="B76" s="520" t="s">
        <v>582</v>
      </c>
      <c r="C76" s="152" t="s">
        <v>128</v>
      </c>
      <c r="D76" s="598">
        <v>0</v>
      </c>
      <c r="E76" s="599">
        <v>0</v>
      </c>
      <c r="F76" s="599">
        <v>0</v>
      </c>
      <c r="G76" s="599">
        <v>0</v>
      </c>
      <c r="H76" s="599">
        <v>0</v>
      </c>
      <c r="I76" s="599">
        <v>0</v>
      </c>
      <c r="J76" s="599"/>
      <c r="K76" s="608"/>
    </row>
    <row r="77" spans="1:11" s="2" customFormat="1">
      <c r="A77" s="3">
        <v>25</v>
      </c>
      <c r="B77" s="520" t="s">
        <v>582</v>
      </c>
      <c r="C77" s="152" t="s">
        <v>128</v>
      </c>
      <c r="D77" s="634">
        <v>0</v>
      </c>
      <c r="E77" s="635">
        <v>0</v>
      </c>
      <c r="F77" s="635">
        <v>0</v>
      </c>
      <c r="G77" s="635">
        <v>0</v>
      </c>
      <c r="H77" s="635">
        <v>0</v>
      </c>
      <c r="I77" s="635">
        <v>0</v>
      </c>
      <c r="J77" s="635"/>
      <c r="K77" s="636"/>
    </row>
    <row r="78" spans="1:11" s="2" customFormat="1">
      <c r="B78" s="12" t="s">
        <v>170</v>
      </c>
      <c r="C78" s="152" t="s">
        <v>128</v>
      </c>
      <c r="D78" s="612">
        <f>SUM(D53:D77)</f>
        <v>84.508651632369023</v>
      </c>
      <c r="E78" s="613">
        <f t="shared" ref="E78:K78" si="6">SUM(E53:E77)</f>
        <v>77.710051093372414</v>
      </c>
      <c r="F78" s="613">
        <f t="shared" si="6"/>
        <v>84.940495021663992</v>
      </c>
      <c r="G78" s="613">
        <f t="shared" si="6"/>
        <v>85.905906546426039</v>
      </c>
      <c r="H78" s="613">
        <f t="shared" si="6"/>
        <v>84.363151909408018</v>
      </c>
      <c r="I78" s="613">
        <f t="shared" si="6"/>
        <v>88.440815006799326</v>
      </c>
      <c r="J78" s="613">
        <f t="shared" si="6"/>
        <v>0</v>
      </c>
      <c r="K78" s="614">
        <f t="shared" si="6"/>
        <v>0</v>
      </c>
    </row>
    <row r="79" spans="1:11" s="2" customFormat="1">
      <c r="C79" s="136"/>
      <c r="D79" s="53"/>
      <c r="E79" s="52"/>
      <c r="F79" s="52"/>
      <c r="G79" s="52"/>
      <c r="H79" s="52"/>
      <c r="I79" s="52"/>
      <c r="J79" s="52"/>
      <c r="K79" s="52"/>
    </row>
    <row r="80" spans="1:11" s="2" customFormat="1">
      <c r="B80" s="12" t="s">
        <v>387</v>
      </c>
      <c r="C80" s="152" t="s">
        <v>128</v>
      </c>
      <c r="D80" s="612">
        <f>D48-D78</f>
        <v>240.21135828191137</v>
      </c>
      <c r="E80" s="613">
        <f t="shared" ref="E80:K80" si="7">E48-E78</f>
        <v>256.61387470175555</v>
      </c>
      <c r="F80" s="613">
        <f t="shared" si="7"/>
        <v>270.43841314370786</v>
      </c>
      <c r="G80" s="613">
        <f t="shared" si="7"/>
        <v>290.94077681712832</v>
      </c>
      <c r="H80" s="613">
        <f t="shared" si="7"/>
        <v>272.31478994766223</v>
      </c>
      <c r="I80" s="613">
        <f t="shared" si="7"/>
        <v>249.70969718366342</v>
      </c>
      <c r="J80" s="613">
        <f t="shared" si="7"/>
        <v>0</v>
      </c>
      <c r="K80" s="614">
        <f t="shared" si="7"/>
        <v>0</v>
      </c>
    </row>
    <row r="81" spans="2:11" s="2" customFormat="1">
      <c r="B81" s="12" t="s">
        <v>475</v>
      </c>
      <c r="C81" s="152" t="s">
        <v>128</v>
      </c>
      <c r="D81" s="646">
        <f>'R4 - Totex'!D90+'R4 - Totex'!D118</f>
        <v>240.11642136538276</v>
      </c>
      <c r="E81" s="647">
        <f>'R4 - Totex'!E90+'R4 - Totex'!E118</f>
        <v>256.61387466175569</v>
      </c>
      <c r="F81" s="647">
        <f>'R4 - Totex'!F90+'R4 - Totex'!F118</f>
        <v>270.44276693581941</v>
      </c>
      <c r="G81" s="647">
        <f>'R4 - Totex'!G90+'R4 - Totex'!G118</f>
        <v>290.88877681712836</v>
      </c>
      <c r="H81" s="647">
        <f>'R4 - Totex'!H90+'R4 - Totex'!H118</f>
        <v>272.29014395766211</v>
      </c>
      <c r="I81" s="647">
        <f>'R4 - Totex'!I90+'R4 - Totex'!I118</f>
        <v>249.70950271027195</v>
      </c>
      <c r="J81" s="647">
        <f>'R4 - Totex'!J90+'R4 - Totex'!J118</f>
        <v>256.32985623954482</v>
      </c>
      <c r="K81" s="647">
        <f>'R4 - Totex'!K90+'R4 - Totex'!K118</f>
        <v>284.05920694956291</v>
      </c>
    </row>
    <row r="82" spans="2:11" s="2" customFormat="1">
      <c r="C82" s="136" t="s">
        <v>388</v>
      </c>
      <c r="D82" s="574" t="str">
        <f>IF(D$5="Actuals",IF(ABS(D80-('R4 - Totex'!D90+'R4 - Totex'!D118))&lt;'RFPR cover'!$F$14,"OK","Error"),"N/A")</f>
        <v>OK</v>
      </c>
      <c r="E82" s="574" t="str">
        <f>IF(E$5="Actuals",IF(ABS(E80-('R4 - Totex'!E90+'R4 - Totex'!E118))&lt;'RFPR cover'!$F$14,"OK","Error"),"N/A")</f>
        <v>OK</v>
      </c>
      <c r="F82" s="574" t="str">
        <f>IF(F$5="Actuals",IF(ABS(F80-('R4 - Totex'!F90+'R4 - Totex'!F118))&lt;'RFPR cover'!$F$14,"OK","Error"),"N/A")</f>
        <v>OK</v>
      </c>
      <c r="G82" s="574" t="str">
        <f>IF(G$5="Actuals",IF(ABS(G80-('R4 - Totex'!G90+'R4 - Totex'!G118))&lt;'RFPR cover'!$F$14,"OK","Error"),"N/A")</f>
        <v>OK</v>
      </c>
      <c r="H82" s="574" t="str">
        <f>IF(H$5="Actuals",IF(ABS(H80-('R4 - Totex'!H90+'R4 - Totex'!H118))&lt;'RFPR cover'!$F$14,"OK","Error"),"N/A")</f>
        <v>OK</v>
      </c>
      <c r="I82" s="574" t="str">
        <f>IF(I$5="Actuals",IF(ABS(I80-('R4 - Totex'!I90+'R4 - Totex'!I118))&lt;'RFPR cover'!$F$14,"OK","Error"),"N/A")</f>
        <v>OK</v>
      </c>
      <c r="J82" s="574" t="str">
        <f>IF(J$5="Actuals",IF(ABS(J80-('R4 - Totex'!J90+'R4 - Totex'!J118))&lt;'RFPR cover'!$F$14,"OK","Error"),"N/A")</f>
        <v>N/A</v>
      </c>
      <c r="K82" s="574"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25.5" style="2" customWidth="1"/>
    <col min="15" max="16384" width="9.125" style="2"/>
  </cols>
  <sheetData>
    <row r="1" spans="1:20" s="31" customFormat="1" ht="20.25">
      <c r="A1" s="912" t="s">
        <v>99</v>
      </c>
      <c r="B1" s="934"/>
      <c r="C1" s="278"/>
      <c r="D1" s="256"/>
      <c r="E1" s="256"/>
      <c r="F1" s="256"/>
      <c r="G1" s="256"/>
      <c r="H1" s="256"/>
      <c r="I1" s="257"/>
      <c r="J1" s="257"/>
      <c r="K1" s="258"/>
      <c r="L1" s="258"/>
      <c r="M1" s="258"/>
      <c r="N1" s="258"/>
      <c r="O1" s="364"/>
    </row>
    <row r="2" spans="1:20" s="31" customFormat="1" ht="20.25">
      <c r="A2" s="915" t="str">
        <f>'RFPR cover'!C5</f>
        <v>SPMW</v>
      </c>
      <c r="B2" s="928"/>
      <c r="C2" s="134"/>
      <c r="D2" s="29"/>
      <c r="E2" s="29"/>
      <c r="F2" s="29"/>
      <c r="G2" s="29"/>
      <c r="H2" s="29"/>
      <c r="I2" s="27"/>
      <c r="J2" s="27"/>
      <c r="K2" s="27"/>
      <c r="L2" s="27"/>
      <c r="M2" s="27"/>
      <c r="N2" s="27"/>
      <c r="O2" s="123"/>
    </row>
    <row r="3" spans="1:20" s="31" customFormat="1" ht="20.25">
      <c r="A3" s="918">
        <f>'RFPR cover'!C7</f>
        <v>2021</v>
      </c>
      <c r="B3" s="929"/>
      <c r="C3" s="277"/>
      <c r="D3" s="260"/>
      <c r="E3" s="260"/>
      <c r="F3" s="260"/>
      <c r="G3" s="260"/>
      <c r="H3" s="260"/>
      <c r="I3" s="255"/>
      <c r="J3" s="255"/>
      <c r="K3" s="255"/>
      <c r="L3" s="255"/>
      <c r="M3" s="255"/>
      <c r="N3" s="255"/>
      <c r="O3" s="261"/>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20" ht="27.75" customHeight="1">
      <c r="B6" s="777"/>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c r="N6" s="119" t="s">
        <v>309</v>
      </c>
    </row>
    <row r="7" spans="1:20" s="35" customFormat="1">
      <c r="B7" s="778"/>
      <c r="C7" s="158"/>
      <c r="D7" s="58"/>
      <c r="E7" s="58"/>
      <c r="F7" s="58"/>
      <c r="G7" s="58"/>
      <c r="H7" s="58"/>
      <c r="I7" s="58"/>
      <c r="J7" s="58"/>
      <c r="K7" s="58"/>
      <c r="L7" s="58"/>
      <c r="M7" s="58"/>
      <c r="N7" s="58"/>
    </row>
    <row r="8" spans="1:20" s="35" customFormat="1">
      <c r="B8" s="779" t="s">
        <v>375</v>
      </c>
      <c r="C8" s="291"/>
      <c r="D8" s="321"/>
      <c r="E8" s="321"/>
      <c r="F8" s="321"/>
      <c r="G8" s="321"/>
      <c r="H8" s="321"/>
      <c r="I8" s="321"/>
      <c r="J8" s="321"/>
      <c r="K8" s="321"/>
      <c r="L8" s="321"/>
      <c r="M8" s="321"/>
      <c r="N8" s="321"/>
    </row>
    <row r="9" spans="1:20" s="35" customFormat="1">
      <c r="B9" s="778"/>
      <c r="C9" s="158"/>
      <c r="D9" s="58"/>
      <c r="E9" s="58"/>
      <c r="F9" s="58"/>
      <c r="G9" s="58"/>
      <c r="H9" s="58"/>
      <c r="I9" s="58"/>
      <c r="J9" s="58"/>
      <c r="K9" s="58"/>
      <c r="L9" s="58"/>
      <c r="M9" s="58"/>
      <c r="N9" s="58"/>
    </row>
    <row r="10" spans="1:20">
      <c r="A10" s="35"/>
      <c r="B10" s="780" t="str">
        <f>Data!B48</f>
        <v>Totex</v>
      </c>
      <c r="C10" s="150"/>
      <c r="D10" s="82"/>
      <c r="E10" s="82"/>
      <c r="F10" s="82"/>
      <c r="G10" s="82"/>
      <c r="H10" s="82"/>
      <c r="I10" s="82"/>
      <c r="J10" s="82"/>
      <c r="K10" s="82"/>
      <c r="L10" s="82"/>
      <c r="M10" s="82"/>
      <c r="N10" s="82"/>
    </row>
    <row r="11" spans="1:20" s="35" customFormat="1">
      <c r="B11" s="781"/>
      <c r="C11" s="138"/>
      <c r="D11" s="320"/>
      <c r="E11" s="320"/>
      <c r="F11" s="320"/>
      <c r="G11" s="320"/>
      <c r="H11" s="320"/>
      <c r="I11" s="320"/>
      <c r="J11" s="320"/>
      <c r="K11" s="320"/>
      <c r="L11" s="320"/>
      <c r="M11" s="320"/>
      <c r="N11" s="320"/>
    </row>
    <row r="12" spans="1:20">
      <c r="A12" s="35"/>
      <c r="B12" s="305" t="s">
        <v>34</v>
      </c>
      <c r="C12" s="155" t="str">
        <f>'RFPR cover'!$C$14</f>
        <v>£m 12/13</v>
      </c>
      <c r="D12" s="483">
        <v>226.45725639211292</v>
      </c>
      <c r="E12" s="484">
        <v>236.93922753466165</v>
      </c>
      <c r="F12" s="484">
        <v>240.70083082348137</v>
      </c>
      <c r="G12" s="484">
        <v>251.22203209133127</v>
      </c>
      <c r="H12" s="484">
        <v>229.22561423621147</v>
      </c>
      <c r="I12" s="484">
        <v>207.69747051207631</v>
      </c>
      <c r="J12" s="484">
        <v>207.69994326134423</v>
      </c>
      <c r="K12" s="484">
        <v>223.3020503170759</v>
      </c>
      <c r="L12" s="107">
        <f>SUM(D12:INDEX(D12:K12,0,MATCH('RFPR cover'!$C$7,$D$6:$K$6,0)))</f>
        <v>1392.242431589875</v>
      </c>
      <c r="M12" s="108">
        <f>SUM(D12:K12)</f>
        <v>1823.244425168295</v>
      </c>
      <c r="N12" s="63"/>
      <c r="O12" s="63"/>
    </row>
    <row r="13" spans="1:20" ht="25.5">
      <c r="A13" s="35"/>
      <c r="B13" s="782" t="s">
        <v>487</v>
      </c>
      <c r="C13" s="155" t="str">
        <f>'RFPR cover'!$C$14</f>
        <v>£m 12/13</v>
      </c>
      <c r="D13" s="485">
        <v>236.3069334526231</v>
      </c>
      <c r="E13" s="486">
        <v>245.62444492525447</v>
      </c>
      <c r="F13" s="486">
        <v>225.14635575856676</v>
      </c>
      <c r="G13" s="486">
        <v>207.34636601224832</v>
      </c>
      <c r="H13" s="486">
        <v>206.47826911013394</v>
      </c>
      <c r="I13" s="486">
        <v>209.7804889736702</v>
      </c>
      <c r="J13" s="486">
        <v>205.75429600093062</v>
      </c>
      <c r="K13" s="486">
        <v>194.2366091198046</v>
      </c>
      <c r="L13" s="105">
        <f>SUM(D13:INDEX(D13:K13,0,MATCH('RFPR cover'!$C$7,$D$6:$K$6,0)))</f>
        <v>1330.6828582324965</v>
      </c>
      <c r="M13" s="106">
        <f>SUM(D13:K13)</f>
        <v>1730.6737633532318</v>
      </c>
      <c r="N13" s="63"/>
      <c r="O13" s="63"/>
    </row>
    <row r="14" spans="1:20">
      <c r="A14" s="35"/>
      <c r="B14" s="783" t="s">
        <v>194</v>
      </c>
      <c r="C14" s="155" t="str">
        <f>'RFPR cover'!$C$14</f>
        <v>£m 12/13</v>
      </c>
      <c r="D14" s="102">
        <f>D13-D12</f>
        <v>9.8496770605101744</v>
      </c>
      <c r="E14" s="103">
        <f t="shared" ref="E14:M14" si="1">E13-E12</f>
        <v>8.6852173905928112</v>
      </c>
      <c r="F14" s="103">
        <f t="shared" si="1"/>
        <v>-15.554475064914612</v>
      </c>
      <c r="G14" s="103">
        <f t="shared" si="1"/>
        <v>-43.875666079082947</v>
      </c>
      <c r="H14" s="103">
        <f t="shared" si="1"/>
        <v>-22.747345126077533</v>
      </c>
      <c r="I14" s="103">
        <f t="shared" si="1"/>
        <v>2.0830184615938947</v>
      </c>
      <c r="J14" s="103">
        <f t="shared" si="1"/>
        <v>-1.9456472604136081</v>
      </c>
      <c r="K14" s="103">
        <f t="shared" si="1"/>
        <v>-29.065441197271298</v>
      </c>
      <c r="L14" s="102">
        <f t="shared" si="1"/>
        <v>-61.55957335737844</v>
      </c>
      <c r="M14" s="104">
        <f t="shared" si="1"/>
        <v>-92.570661815063204</v>
      </c>
      <c r="N14" s="63"/>
      <c r="O14" s="996"/>
      <c r="P14" s="996"/>
      <c r="Q14" s="996"/>
      <c r="R14"/>
      <c r="S14"/>
      <c r="T14"/>
    </row>
    <row r="15" spans="1:20">
      <c r="A15" s="35"/>
      <c r="B15" s="783"/>
      <c r="C15" s="155"/>
      <c r="D15" s="59"/>
      <c r="E15" s="59"/>
      <c r="F15" s="59"/>
      <c r="G15" s="59"/>
      <c r="H15" s="59"/>
      <c r="I15" s="59"/>
      <c r="J15" s="59"/>
      <c r="K15" s="59"/>
      <c r="L15" s="59"/>
      <c r="M15" s="59"/>
      <c r="O15" s="64"/>
      <c r="P15" s="64"/>
      <c r="Q15" s="64"/>
      <c r="R15"/>
      <c r="S15"/>
      <c r="T15"/>
    </row>
    <row r="16" spans="1:20">
      <c r="A16" s="35"/>
      <c r="B16" s="777" t="s">
        <v>177</v>
      </c>
      <c r="C16" s="136" t="s">
        <v>7</v>
      </c>
      <c r="D16" s="109">
        <f>1-INDEX(Data!$D$73:$D$100,MATCH('RFPR cover'!$C$5,Data!$B$73:$B$100,0),0)</f>
        <v>0.46499999999999997</v>
      </c>
      <c r="E16" s="110">
        <f>1-INDEX(Data!$D$73:$D$100,MATCH('RFPR cover'!$C$5,Data!$B$73:$B$100,0),0)</f>
        <v>0.46499999999999997</v>
      </c>
      <c r="F16" s="110">
        <f>1-INDEX(Data!$D$73:$D$100,MATCH('RFPR cover'!$C$5,Data!$B$73:$B$100,0),0)</f>
        <v>0.46499999999999997</v>
      </c>
      <c r="G16" s="110">
        <f>1-INDEX(Data!$D$73:$D$100,MATCH('RFPR cover'!$C$5,Data!$B$73:$B$100,0),0)</f>
        <v>0.46499999999999997</v>
      </c>
      <c r="H16" s="110">
        <f>1-INDEX(Data!$D$73:$D$100,MATCH('RFPR cover'!$C$5,Data!$B$73:$B$100,0),0)</f>
        <v>0.46499999999999997</v>
      </c>
      <c r="I16" s="110">
        <f>1-INDEX(Data!$D$73:$D$100,MATCH('RFPR cover'!$C$5,Data!$B$73:$B$100,0),0)</f>
        <v>0.46499999999999997</v>
      </c>
      <c r="J16" s="110">
        <f>1-INDEX(Data!$D$73:$D$100,MATCH('RFPR cover'!$C$5,Data!$B$73:$B$100,0),0)</f>
        <v>0.46499999999999997</v>
      </c>
      <c r="K16" s="111">
        <f>1-INDEX(Data!$D$73:$D$100,MATCH('RFPR cover'!$C$5,Data!$B$73:$B$100,0),0)</f>
        <v>0.46499999999999997</v>
      </c>
      <c r="L16" s="62"/>
      <c r="M16" s="62"/>
      <c r="O16"/>
      <c r="P16"/>
      <c r="Q16"/>
      <c r="R16"/>
      <c r="S16"/>
      <c r="T16"/>
    </row>
    <row r="17" spans="1:20">
      <c r="A17" s="35"/>
      <c r="B17" s="777"/>
      <c r="O17"/>
      <c r="P17"/>
      <c r="Q17"/>
      <c r="R17"/>
      <c r="S17"/>
      <c r="T17"/>
    </row>
    <row r="18" spans="1:20">
      <c r="A18" s="35"/>
      <c r="B18" s="784" t="s">
        <v>182</v>
      </c>
      <c r="C18" s="159" t="str">
        <f>'RFPR cover'!$C$14</f>
        <v>£m 12/13</v>
      </c>
      <c r="D18" s="95">
        <f>D14*D16</f>
        <v>4.5800998331372309</v>
      </c>
      <c r="E18" s="96">
        <f t="shared" ref="E18:K18" si="2">E14*E16</f>
        <v>4.0386260866256567</v>
      </c>
      <c r="F18" s="96">
        <f t="shared" si="2"/>
        <v>-7.2328309051852946</v>
      </c>
      <c r="G18" s="96">
        <f t="shared" si="2"/>
        <v>-20.402184726773569</v>
      </c>
      <c r="H18" s="96">
        <f t="shared" si="2"/>
        <v>-10.577515483626053</v>
      </c>
      <c r="I18" s="96">
        <f t="shared" si="2"/>
        <v>0.96860358464116092</v>
      </c>
      <c r="J18" s="96">
        <f t="shared" si="2"/>
        <v>-0.90472597609232774</v>
      </c>
      <c r="K18" s="96">
        <f t="shared" si="2"/>
        <v>-13.515430156731153</v>
      </c>
      <c r="L18" s="95">
        <f>SUM(D18:INDEX(D18:K18,0,MATCH('RFPR cover'!$C$7,$D$6:$K$6,0)))</f>
        <v>-28.625201611180866</v>
      </c>
      <c r="M18" s="97">
        <f>SUM(D18:K18)</f>
        <v>-43.045357744004349</v>
      </c>
      <c r="O18"/>
      <c r="P18"/>
      <c r="Q18"/>
      <c r="R18"/>
      <c r="S18"/>
      <c r="T18"/>
    </row>
    <row r="19" spans="1:20">
      <c r="A19" s="35"/>
      <c r="B19" s="784" t="s">
        <v>278</v>
      </c>
      <c r="C19" s="159" t="str">
        <f>'RFPR cover'!$C$14</f>
        <v>£m 12/13</v>
      </c>
      <c r="D19" s="92">
        <f>D14*(1-D16)</f>
        <v>5.2695772273729435</v>
      </c>
      <c r="E19" s="93">
        <f t="shared" ref="E19:K19" si="3">E14*(1-E16)</f>
        <v>4.6465913039671545</v>
      </c>
      <c r="F19" s="93">
        <f t="shared" si="3"/>
        <v>-8.3216441597293187</v>
      </c>
      <c r="G19" s="93">
        <f t="shared" si="3"/>
        <v>-23.473481352309378</v>
      </c>
      <c r="H19" s="93">
        <f t="shared" si="3"/>
        <v>-12.16982964245148</v>
      </c>
      <c r="I19" s="93">
        <f t="shared" si="3"/>
        <v>1.1144148769527338</v>
      </c>
      <c r="J19" s="93">
        <f t="shared" si="3"/>
        <v>-1.0409212843212805</v>
      </c>
      <c r="K19" s="93">
        <f t="shared" si="3"/>
        <v>-15.550011040540145</v>
      </c>
      <c r="L19" s="92">
        <f>SUM(D19:INDEX(D19:K19,0,MATCH('RFPR cover'!$C$7,$D$6:$K$6,0)))</f>
        <v>-32.934371746197343</v>
      </c>
      <c r="M19" s="94">
        <f>SUM(D19:K19)</f>
        <v>-49.52530407105877</v>
      </c>
      <c r="O19"/>
      <c r="P19"/>
      <c r="Q19"/>
      <c r="R19"/>
      <c r="S19"/>
      <c r="T19"/>
    </row>
    <row r="20" spans="1:20">
      <c r="A20" s="35"/>
      <c r="B20" s="777"/>
      <c r="O20"/>
      <c r="P20"/>
      <c r="Q20"/>
      <c r="R20"/>
      <c r="S20"/>
      <c r="T20"/>
    </row>
    <row r="21" spans="1:20">
      <c r="A21" s="35"/>
      <c r="B21" s="785" t="s">
        <v>181</v>
      </c>
      <c r="N21" s="63"/>
      <c r="O21"/>
      <c r="P21"/>
      <c r="Q21"/>
      <c r="R21"/>
      <c r="S21"/>
      <c r="T21"/>
    </row>
    <row r="22" spans="1:20">
      <c r="A22" s="269" t="s">
        <v>151</v>
      </c>
      <c r="B22" s="775" t="s">
        <v>614</v>
      </c>
      <c r="C22" s="155" t="str">
        <f>'RFPR cover'!$C$14</f>
        <v>£m 12/13</v>
      </c>
      <c r="D22" s="584">
        <v>-8.6578347055019265</v>
      </c>
      <c r="E22" s="585">
        <v>-7.997215514087145</v>
      </c>
      <c r="F22" s="585">
        <v>16.270436379072152</v>
      </c>
      <c r="G22" s="585">
        <v>45.011304258403186</v>
      </c>
      <c r="H22" s="585">
        <v>-1.3</v>
      </c>
      <c r="I22" s="585">
        <v>-26.1</v>
      </c>
      <c r="J22" s="585">
        <v>-22.1</v>
      </c>
      <c r="K22" s="585">
        <v>4.873309582113734</v>
      </c>
      <c r="L22" s="586">
        <f>SUM(D22:INDEX(D22:K22,0,MATCH('RFPR cover'!$C$7,$D$6:$K$6,0)))</f>
        <v>17.226690417886267</v>
      </c>
      <c r="M22" s="587">
        <f t="shared" ref="M22:M27" si="4">SUM(D22:K22)</f>
        <v>0</v>
      </c>
      <c r="N22" s="949">
        <v>0</v>
      </c>
      <c r="O22"/>
      <c r="P22"/>
      <c r="Q22"/>
      <c r="R22"/>
      <c r="S22"/>
      <c r="T22"/>
    </row>
    <row r="23" spans="1:20">
      <c r="A23" s="269" t="s">
        <v>152</v>
      </c>
      <c r="B23" s="775" t="s">
        <v>241</v>
      </c>
      <c r="C23" s="155" t="str">
        <f>'RFPR cover'!$C$14</f>
        <v>£m 12/13</v>
      </c>
      <c r="D23" s="588">
        <v>0</v>
      </c>
      <c r="E23" s="589">
        <v>0</v>
      </c>
      <c r="F23" s="589">
        <v>0</v>
      </c>
      <c r="G23" s="589">
        <v>0</v>
      </c>
      <c r="H23" s="589">
        <v>0</v>
      </c>
      <c r="I23" s="589">
        <v>0</v>
      </c>
      <c r="J23" s="589">
        <v>0</v>
      </c>
      <c r="K23" s="589">
        <v>0</v>
      </c>
      <c r="L23" s="590">
        <f>SUM(D23:INDEX(D23:K23,0,MATCH('RFPR cover'!$C$7,$D$6:$K$6,0)))</f>
        <v>0</v>
      </c>
      <c r="M23" s="591">
        <f t="shared" si="4"/>
        <v>0</v>
      </c>
      <c r="N23" s="950">
        <v>0</v>
      </c>
      <c r="O23"/>
      <c r="P23"/>
      <c r="Q23"/>
      <c r="R23"/>
      <c r="S23"/>
      <c r="T23"/>
    </row>
    <row r="24" spans="1:20">
      <c r="A24" s="269" t="s">
        <v>153</v>
      </c>
      <c r="B24" s="775" t="s">
        <v>241</v>
      </c>
      <c r="C24" s="155" t="str">
        <f>'RFPR cover'!$C$14</f>
        <v>£m 12/13</v>
      </c>
      <c r="D24" s="588">
        <v>0</v>
      </c>
      <c r="E24" s="589">
        <v>0</v>
      </c>
      <c r="F24" s="589">
        <v>0</v>
      </c>
      <c r="G24" s="589">
        <v>0</v>
      </c>
      <c r="H24" s="589">
        <v>0</v>
      </c>
      <c r="I24" s="589">
        <v>0</v>
      </c>
      <c r="J24" s="589">
        <v>0</v>
      </c>
      <c r="K24" s="589">
        <v>0</v>
      </c>
      <c r="L24" s="590">
        <f>SUM(D24:INDEX(D24:K24,0,MATCH('RFPR cover'!$C$7,$D$6:$K$6,0)))</f>
        <v>0</v>
      </c>
      <c r="M24" s="591">
        <f t="shared" si="4"/>
        <v>0</v>
      </c>
      <c r="N24" s="950">
        <v>0</v>
      </c>
      <c r="O24"/>
      <c r="P24"/>
      <c r="Q24"/>
      <c r="R24"/>
      <c r="S24" s="65"/>
      <c r="T24"/>
    </row>
    <row r="25" spans="1:20">
      <c r="A25" s="269" t="s">
        <v>167</v>
      </c>
      <c r="B25" s="775" t="s">
        <v>241</v>
      </c>
      <c r="C25" s="155" t="str">
        <f>'RFPR cover'!$C$14</f>
        <v>£m 12/13</v>
      </c>
      <c r="D25" s="588">
        <v>0</v>
      </c>
      <c r="E25" s="589">
        <v>0</v>
      </c>
      <c r="F25" s="589">
        <v>0</v>
      </c>
      <c r="G25" s="589">
        <v>0</v>
      </c>
      <c r="H25" s="589">
        <v>0</v>
      </c>
      <c r="I25" s="589">
        <v>0</v>
      </c>
      <c r="J25" s="589">
        <v>0</v>
      </c>
      <c r="K25" s="589">
        <v>0</v>
      </c>
      <c r="L25" s="590">
        <f>SUM(D25:INDEX(D25:K25,0,MATCH('RFPR cover'!$C$7,$D$6:$K$6,0)))</f>
        <v>0</v>
      </c>
      <c r="M25" s="591">
        <f t="shared" si="4"/>
        <v>0</v>
      </c>
      <c r="N25" s="950">
        <v>0</v>
      </c>
      <c r="O25"/>
      <c r="P25"/>
      <c r="Q25"/>
      <c r="R25"/>
      <c r="S25"/>
      <c r="T25"/>
    </row>
    <row r="26" spans="1:20">
      <c r="A26" s="269" t="s">
        <v>168</v>
      </c>
      <c r="B26" s="775" t="s">
        <v>241</v>
      </c>
      <c r="C26" s="155" t="str">
        <f>'RFPR cover'!$C$14</f>
        <v>£m 12/13</v>
      </c>
      <c r="D26" s="588">
        <v>0</v>
      </c>
      <c r="E26" s="589">
        <v>0</v>
      </c>
      <c r="F26" s="589">
        <v>0</v>
      </c>
      <c r="G26" s="589">
        <v>0</v>
      </c>
      <c r="H26" s="589">
        <v>0</v>
      </c>
      <c r="I26" s="589">
        <v>0</v>
      </c>
      <c r="J26" s="589">
        <v>0</v>
      </c>
      <c r="K26" s="589">
        <v>0</v>
      </c>
      <c r="L26" s="590">
        <f>SUM(D26:INDEX(D26:K26,0,MATCH('RFPR cover'!$C$7,$D$6:$K$6,0)))</f>
        <v>0</v>
      </c>
      <c r="M26" s="591">
        <f t="shared" si="4"/>
        <v>0</v>
      </c>
      <c r="N26" s="950">
        <v>0</v>
      </c>
      <c r="O26"/>
      <c r="P26"/>
      <c r="Q26"/>
      <c r="R26"/>
      <c r="S26"/>
      <c r="T26"/>
    </row>
    <row r="27" spans="1:20">
      <c r="A27" s="269" t="s">
        <v>169</v>
      </c>
      <c r="B27" s="775" t="s">
        <v>241</v>
      </c>
      <c r="C27" s="155" t="str">
        <f>'RFPR cover'!$C$14</f>
        <v>£m 12/13</v>
      </c>
      <c r="D27" s="592">
        <v>0</v>
      </c>
      <c r="E27" s="593">
        <v>0</v>
      </c>
      <c r="F27" s="593">
        <v>0</v>
      </c>
      <c r="G27" s="593">
        <v>0</v>
      </c>
      <c r="H27" s="593">
        <v>0</v>
      </c>
      <c r="I27" s="593">
        <v>0</v>
      </c>
      <c r="J27" s="593">
        <v>0</v>
      </c>
      <c r="K27" s="593">
        <v>0</v>
      </c>
      <c r="L27" s="594">
        <f>SUM(D27:INDEX(D27:K27,0,MATCH('RFPR cover'!$C$7,$D$6:$K$6,0)))</f>
        <v>0</v>
      </c>
      <c r="M27" s="595">
        <f t="shared" si="4"/>
        <v>0</v>
      </c>
      <c r="N27" s="951">
        <v>0</v>
      </c>
      <c r="O27"/>
      <c r="P27"/>
      <c r="Q27"/>
      <c r="R27"/>
      <c r="S27"/>
      <c r="T27"/>
    </row>
    <row r="28" spans="1:20">
      <c r="A28" s="35"/>
      <c r="B28" s="785" t="s">
        <v>189</v>
      </c>
      <c r="C28" s="155" t="str">
        <f>'RFPR cover'!$C$14</f>
        <v>£m 12/13</v>
      </c>
      <c r="D28" s="102">
        <f>SUM(D22:D27)</f>
        <v>-8.6578347055019265</v>
      </c>
      <c r="E28" s="103">
        <f t="shared" ref="E28:K28" si="5">SUM(E22:E27)</f>
        <v>-7.997215514087145</v>
      </c>
      <c r="F28" s="103">
        <f t="shared" si="5"/>
        <v>16.270436379072152</v>
      </c>
      <c r="G28" s="103">
        <f t="shared" si="5"/>
        <v>45.011304258403186</v>
      </c>
      <c r="H28" s="103">
        <f t="shared" si="5"/>
        <v>-1.3</v>
      </c>
      <c r="I28" s="103">
        <f t="shared" si="5"/>
        <v>-26.1</v>
      </c>
      <c r="J28" s="103">
        <f t="shared" si="5"/>
        <v>-22.1</v>
      </c>
      <c r="K28" s="103">
        <f t="shared" si="5"/>
        <v>4.873309582113734</v>
      </c>
      <c r="L28" s="102">
        <f>SUM(D28:INDEX(D28:K28,0,MATCH('RFPR cover'!$C$7,$D$6:$K$6,0)))</f>
        <v>17.226690417886267</v>
      </c>
      <c r="M28" s="104">
        <f>SUM(D28:K28)</f>
        <v>0</v>
      </c>
      <c r="N28" s="63"/>
    </row>
    <row r="29" spans="1:20">
      <c r="A29" s="35"/>
      <c r="B29" s="777"/>
    </row>
    <row r="30" spans="1:20">
      <c r="A30" s="35"/>
      <c r="B30" s="784" t="s">
        <v>197</v>
      </c>
      <c r="C30" s="159" t="str">
        <f>'RFPR cover'!$C$14</f>
        <v>£m 12/13</v>
      </c>
      <c r="D30" s="95">
        <f t="shared" ref="D30:K30" si="6">D28*D16</f>
        <v>-4.0258931380583958</v>
      </c>
      <c r="E30" s="96">
        <f t="shared" si="6"/>
        <v>-3.7187052140505221</v>
      </c>
      <c r="F30" s="96">
        <f t="shared" si="6"/>
        <v>7.5657529162685497</v>
      </c>
      <c r="G30" s="96">
        <f t="shared" si="6"/>
        <v>20.930256480157482</v>
      </c>
      <c r="H30" s="96">
        <f t="shared" si="6"/>
        <v>-0.60449999999999993</v>
      </c>
      <c r="I30" s="96">
        <f t="shared" si="6"/>
        <v>-12.1365</v>
      </c>
      <c r="J30" s="96">
        <f t="shared" si="6"/>
        <v>-10.2765</v>
      </c>
      <c r="K30" s="96">
        <f t="shared" si="6"/>
        <v>2.266088955682886</v>
      </c>
      <c r="L30" s="95">
        <f>SUM(D30:INDEX(D30:K30,0,MATCH('RFPR cover'!$C$7,$D$6:$K$6,0)))</f>
        <v>8.0104110443171113</v>
      </c>
      <c r="M30" s="97">
        <f>SUM(D30:K30)</f>
        <v>0</v>
      </c>
    </row>
    <row r="31" spans="1:20">
      <c r="A31" s="35"/>
      <c r="B31" s="784" t="s">
        <v>307</v>
      </c>
      <c r="C31" s="159" t="str">
        <f>'RFPR cover'!$C$14</f>
        <v>£m 12/13</v>
      </c>
      <c r="D31" s="92">
        <f t="shared" ref="D31:K31" si="7">D28*(1-D16)</f>
        <v>-4.6319415674435307</v>
      </c>
      <c r="E31" s="93">
        <f t="shared" si="7"/>
        <v>-4.2785103000366229</v>
      </c>
      <c r="F31" s="93">
        <f t="shared" si="7"/>
        <v>8.7046834628036009</v>
      </c>
      <c r="G31" s="93">
        <f t="shared" si="7"/>
        <v>24.081047778245704</v>
      </c>
      <c r="H31" s="93">
        <f t="shared" si="7"/>
        <v>-0.69550000000000012</v>
      </c>
      <c r="I31" s="93">
        <f t="shared" si="7"/>
        <v>-13.963500000000002</v>
      </c>
      <c r="J31" s="93">
        <f t="shared" si="7"/>
        <v>-11.823500000000001</v>
      </c>
      <c r="K31" s="93">
        <f t="shared" si="7"/>
        <v>2.607220626430848</v>
      </c>
      <c r="L31" s="92">
        <f>SUM(D31:INDEX(D31:K31,0,MATCH('RFPR cover'!$C$7,$D$6:$K$6,0)))</f>
        <v>9.2162793735691491</v>
      </c>
      <c r="M31" s="94">
        <f>SUM(D31:K31)</f>
        <v>-3.9968028886505635E-15</v>
      </c>
    </row>
    <row r="32" spans="1:20">
      <c r="A32" s="35"/>
      <c r="B32" s="777"/>
    </row>
    <row r="33" spans="1:20">
      <c r="A33" s="35"/>
      <c r="B33" s="785" t="s">
        <v>180</v>
      </c>
    </row>
    <row r="34" spans="1:20">
      <c r="A34" s="35"/>
      <c r="B34" s="777" t="s">
        <v>179</v>
      </c>
      <c r="C34" s="155" t="str">
        <f>'RFPR cover'!$C$14</f>
        <v>£m 12/13</v>
      </c>
      <c r="D34" s="95">
        <f>D18+D30</f>
        <v>0.55420669507883513</v>
      </c>
      <c r="E34" s="96">
        <f t="shared" ref="E34:K34" si="8">E18+E30</f>
        <v>0.31992087257513457</v>
      </c>
      <c r="F34" s="96">
        <f t="shared" si="8"/>
        <v>0.33292201108325514</v>
      </c>
      <c r="G34" s="96">
        <f t="shared" si="8"/>
        <v>0.52807175338391232</v>
      </c>
      <c r="H34" s="96">
        <f t="shared" si="8"/>
        <v>-11.182015483626053</v>
      </c>
      <c r="I34" s="96">
        <f t="shared" si="8"/>
        <v>-11.16789641535884</v>
      </c>
      <c r="J34" s="96">
        <f t="shared" si="8"/>
        <v>-11.181225976092328</v>
      </c>
      <c r="K34" s="96">
        <f t="shared" si="8"/>
        <v>-11.249341201048267</v>
      </c>
      <c r="L34" s="95">
        <f>SUM(D34:INDEX(D34:K34,0,MATCH('RFPR cover'!$C$7,$D$6:$K$6,0)))</f>
        <v>-20.614790566863753</v>
      </c>
      <c r="M34" s="97">
        <f>SUM(D34:K34)</f>
        <v>-43.045357744004349</v>
      </c>
    </row>
    <row r="35" spans="1:20">
      <c r="A35" s="35"/>
      <c r="B35" s="777" t="s">
        <v>278</v>
      </c>
      <c r="C35" s="155" t="str">
        <f>'RFPR cover'!$C$14</f>
        <v>£m 12/13</v>
      </c>
      <c r="D35" s="98">
        <f>D19+D31</f>
        <v>0.63763565992941285</v>
      </c>
      <c r="E35" s="99">
        <f t="shared" ref="E35:K35" si="9">E19+E31</f>
        <v>0.36808100393053156</v>
      </c>
      <c r="F35" s="99">
        <f t="shared" si="9"/>
        <v>0.38303930307428224</v>
      </c>
      <c r="G35" s="99">
        <f t="shared" si="9"/>
        <v>0.60756642593632648</v>
      </c>
      <c r="H35" s="99">
        <f t="shared" si="9"/>
        <v>-12.865329642451481</v>
      </c>
      <c r="I35" s="99">
        <f t="shared" si="9"/>
        <v>-12.849085123047267</v>
      </c>
      <c r="J35" s="99">
        <f t="shared" si="9"/>
        <v>-12.864421284321281</v>
      </c>
      <c r="K35" s="99">
        <f t="shared" si="9"/>
        <v>-12.942790414109297</v>
      </c>
      <c r="L35" s="98">
        <f>SUM(D35:INDEX(D35:K35,0,MATCH('RFPR cover'!$C$7,$D$6:$K$6,0)))</f>
        <v>-23.718092372628195</v>
      </c>
      <c r="M35" s="100">
        <f>SUM(D35:K35)</f>
        <v>-49.52530407105877</v>
      </c>
    </row>
    <row r="36" spans="1:20">
      <c r="A36" s="35"/>
      <c r="B36" s="785" t="s">
        <v>11</v>
      </c>
      <c r="C36" s="156" t="str">
        <f>'RFPR cover'!$C$14</f>
        <v>£m 12/13</v>
      </c>
      <c r="D36" s="139">
        <f>SUM(D34:D35)</f>
        <v>1.191842355008248</v>
      </c>
      <c r="E36" s="140">
        <f t="shared" ref="E36:K36" si="10">SUM(E34:E35)</f>
        <v>0.68800187650566613</v>
      </c>
      <c r="F36" s="140">
        <f t="shared" si="10"/>
        <v>0.71596131415753739</v>
      </c>
      <c r="G36" s="140">
        <f t="shared" si="10"/>
        <v>1.1356381793202388</v>
      </c>
      <c r="H36" s="140">
        <f t="shared" si="10"/>
        <v>-24.047345126077534</v>
      </c>
      <c r="I36" s="140">
        <f t="shared" si="10"/>
        <v>-24.016981538406107</v>
      </c>
      <c r="J36" s="140">
        <f t="shared" si="10"/>
        <v>-24.04564726041361</v>
      </c>
      <c r="K36" s="140">
        <f t="shared" si="10"/>
        <v>-24.192131615157564</v>
      </c>
      <c r="L36" s="139">
        <f>SUM(D36:INDEX(D36:K36,0,MATCH('RFPR cover'!$C$7,$D$6:$K$6,0)))</f>
        <v>-44.332882939491952</v>
      </c>
      <c r="M36" s="141">
        <f>SUM(D36:K36)</f>
        <v>-92.570661815063119</v>
      </c>
    </row>
    <row r="37" spans="1:20">
      <c r="A37" s="35"/>
      <c r="B37" s="777"/>
    </row>
    <row r="38" spans="1:20">
      <c r="A38" s="35"/>
      <c r="B38" s="780" t="str">
        <f>Data!B51</f>
        <v>n/a</v>
      </c>
      <c r="C38" s="150"/>
      <c r="D38" s="82"/>
      <c r="E38" s="82"/>
      <c r="F38" s="82"/>
      <c r="G38" s="82"/>
      <c r="H38" s="82"/>
      <c r="I38" s="82"/>
      <c r="J38" s="82"/>
      <c r="K38" s="82"/>
      <c r="L38" s="82"/>
      <c r="M38" s="82"/>
      <c r="N38" s="82"/>
    </row>
    <row r="39" spans="1:20" s="35" customFormat="1">
      <c r="B39" s="778"/>
      <c r="C39" s="138"/>
      <c r="D39" s="320"/>
      <c r="E39" s="320"/>
      <c r="F39" s="320"/>
      <c r="G39" s="320"/>
      <c r="H39" s="320"/>
      <c r="I39" s="320"/>
      <c r="J39" s="320"/>
      <c r="K39" s="320"/>
      <c r="L39" s="320"/>
      <c r="M39" s="320"/>
      <c r="N39" s="320"/>
    </row>
    <row r="40" spans="1:20">
      <c r="A40" s="35"/>
      <c r="B40" s="305" t="s">
        <v>34</v>
      </c>
      <c r="C40" s="155" t="str">
        <f>'RFPR cover'!$C$14</f>
        <v>£m 12/13</v>
      </c>
      <c r="D40" s="651"/>
      <c r="E40" s="652"/>
      <c r="F40" s="652"/>
      <c r="G40" s="652"/>
      <c r="H40" s="652"/>
      <c r="I40" s="652"/>
      <c r="J40" s="652"/>
      <c r="K40" s="652"/>
      <c r="L40" s="653">
        <f>SUM(D40:INDEX(D40:K40,0,MATCH('RFPR cover'!$C$7,$D$6:$K$6,0)))</f>
        <v>0</v>
      </c>
      <c r="M40" s="654">
        <f>SUM(D40:K40)</f>
        <v>0</v>
      </c>
      <c r="N40" s="352"/>
      <c r="O40" s="63"/>
    </row>
    <row r="41" spans="1:20" ht="25.5">
      <c r="A41" s="35"/>
      <c r="B41" s="782" t="s">
        <v>487</v>
      </c>
      <c r="C41" s="155" t="str">
        <f>'RFPR cover'!$C$14</f>
        <v>£m 12/13</v>
      </c>
      <c r="D41" s="655"/>
      <c r="E41" s="656"/>
      <c r="F41" s="656"/>
      <c r="G41" s="656"/>
      <c r="H41" s="656"/>
      <c r="I41" s="656"/>
      <c r="J41" s="656"/>
      <c r="K41" s="656"/>
      <c r="L41" s="657">
        <f>SUM(D41:INDEX(D41:K41,0,MATCH('RFPR cover'!$C$7,$D$6:$K$6,0)))</f>
        <v>0</v>
      </c>
      <c r="M41" s="658">
        <f>SUM(D41:K41)</f>
        <v>0</v>
      </c>
      <c r="N41" s="352"/>
      <c r="O41" s="63"/>
    </row>
    <row r="42" spans="1:20">
      <c r="A42" s="35"/>
      <c r="B42" s="783" t="s">
        <v>194</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6"/>
      <c r="P42" s="996"/>
      <c r="Q42" s="996"/>
      <c r="R42"/>
      <c r="S42"/>
      <c r="T42"/>
    </row>
    <row r="43" spans="1:20">
      <c r="A43" s="35"/>
      <c r="B43" s="783"/>
      <c r="C43" s="155"/>
      <c r="D43" s="59"/>
      <c r="E43" s="59"/>
      <c r="F43" s="59"/>
      <c r="G43" s="59"/>
      <c r="H43" s="59"/>
      <c r="I43" s="59"/>
      <c r="J43" s="59"/>
      <c r="K43" s="59"/>
      <c r="L43" s="59"/>
      <c r="M43" s="59"/>
      <c r="N43" s="349"/>
      <c r="O43" s="64"/>
      <c r="P43" s="64"/>
      <c r="Q43" s="64"/>
      <c r="R43"/>
      <c r="S43"/>
      <c r="T43"/>
    </row>
    <row r="44" spans="1:20">
      <c r="A44" s="35"/>
      <c r="B44" s="777" t="s">
        <v>177</v>
      </c>
      <c r="C44" s="136" t="s">
        <v>7</v>
      </c>
      <c r="D44" s="109">
        <f>1-INDEX(Data!$D$73:$D$100,MATCH('RFPR cover'!$C$5,Data!$B$73:$B$100,0),0)</f>
        <v>0.46499999999999997</v>
      </c>
      <c r="E44" s="110">
        <f>1-INDEX(Data!$D$73:$D$100,MATCH('RFPR cover'!$C$5,Data!$B$73:$B$100,0),0)</f>
        <v>0.46499999999999997</v>
      </c>
      <c r="F44" s="110">
        <f>1-INDEX(Data!$D$73:$D$100,MATCH('RFPR cover'!$C$5,Data!$B$73:$B$100,0),0)</f>
        <v>0.46499999999999997</v>
      </c>
      <c r="G44" s="110">
        <f>1-INDEX(Data!$D$73:$D$100,MATCH('RFPR cover'!$C$5,Data!$B$73:$B$100,0),0)</f>
        <v>0.46499999999999997</v>
      </c>
      <c r="H44" s="110">
        <f>1-INDEX(Data!$D$73:$D$100,MATCH('RFPR cover'!$C$5,Data!$B$73:$B$100,0),0)</f>
        <v>0.46499999999999997</v>
      </c>
      <c r="I44" s="110">
        <f>1-INDEX(Data!$D$73:$D$100,MATCH('RFPR cover'!$C$5,Data!$B$73:$B$100,0),0)</f>
        <v>0.46499999999999997</v>
      </c>
      <c r="J44" s="110">
        <f>1-INDEX(Data!$D$73:$D$100,MATCH('RFPR cover'!$C$5,Data!$B$73:$B$100,0),0)</f>
        <v>0.46499999999999997</v>
      </c>
      <c r="K44" s="111">
        <f>1-INDEX(Data!$D$73:$D$100,MATCH('RFPR cover'!$C$5,Data!$B$73:$B$100,0),0)</f>
        <v>0.46499999999999997</v>
      </c>
      <c r="L44" s="62"/>
      <c r="M44" s="62"/>
      <c r="N44" s="350"/>
      <c r="O44"/>
      <c r="P44"/>
      <c r="Q44"/>
      <c r="R44"/>
      <c r="S44"/>
      <c r="T44"/>
    </row>
    <row r="45" spans="1:20">
      <c r="A45" s="35"/>
      <c r="B45" s="777"/>
      <c r="N45" s="351"/>
      <c r="O45"/>
      <c r="P45"/>
      <c r="Q45"/>
      <c r="R45"/>
      <c r="S45"/>
      <c r="T45"/>
    </row>
    <row r="46" spans="1:20">
      <c r="A46" s="35"/>
      <c r="B46" s="784" t="s">
        <v>182</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8">
        <f>SUM(D46:K46)</f>
        <v>0</v>
      </c>
      <c r="N46" s="353"/>
      <c r="O46"/>
      <c r="P46"/>
      <c r="Q46"/>
      <c r="R46"/>
      <c r="S46"/>
      <c r="T46"/>
    </row>
    <row r="47" spans="1:20">
      <c r="A47" s="35"/>
      <c r="B47" s="784" t="s">
        <v>278</v>
      </c>
      <c r="C47" s="159" t="str">
        <f>'RFPR cover'!$C$14</f>
        <v>£m 12/13</v>
      </c>
      <c r="D47" s="580">
        <f>D42*(1-D44)</f>
        <v>0</v>
      </c>
      <c r="E47" s="581">
        <f t="shared" ref="E47:K47" si="13">E42*(1-E44)</f>
        <v>0</v>
      </c>
      <c r="F47" s="581">
        <f t="shared" si="13"/>
        <v>0</v>
      </c>
      <c r="G47" s="581">
        <f t="shared" si="13"/>
        <v>0</v>
      </c>
      <c r="H47" s="581">
        <f t="shared" si="13"/>
        <v>0</v>
      </c>
      <c r="I47" s="581">
        <f t="shared" si="13"/>
        <v>0</v>
      </c>
      <c r="J47" s="581">
        <f t="shared" si="13"/>
        <v>0</v>
      </c>
      <c r="K47" s="581">
        <f t="shared" si="13"/>
        <v>0</v>
      </c>
      <c r="L47" s="582">
        <f>SUM(D47:INDEX(D47:K47,0,MATCH('RFPR cover'!$C$7,$D$6:$K$6,0)))</f>
        <v>0</v>
      </c>
      <c r="M47" s="583">
        <f>SUM(D47:K47)</f>
        <v>0</v>
      </c>
      <c r="N47" s="353"/>
      <c r="O47"/>
      <c r="P47"/>
      <c r="Q47"/>
      <c r="R47"/>
      <c r="S47"/>
      <c r="T47"/>
    </row>
    <row r="48" spans="1:20">
      <c r="A48" s="35"/>
      <c r="B48" s="777"/>
      <c r="N48" s="351"/>
      <c r="O48"/>
      <c r="P48"/>
      <c r="Q48"/>
      <c r="R48"/>
      <c r="S48"/>
      <c r="T48"/>
    </row>
    <row r="49" spans="1:20">
      <c r="A49" s="35"/>
      <c r="B49" s="785" t="s">
        <v>181</v>
      </c>
      <c r="N49" s="351"/>
      <c r="O49"/>
      <c r="P49"/>
      <c r="Q49"/>
      <c r="R49"/>
      <c r="S49"/>
      <c r="T49"/>
    </row>
    <row r="50" spans="1:20">
      <c r="A50" s="269" t="s">
        <v>151</v>
      </c>
      <c r="B50" s="775" t="s">
        <v>241</v>
      </c>
      <c r="C50" s="155" t="str">
        <f>'RFPR cover'!$C$14</f>
        <v>£m 12/13</v>
      </c>
      <c r="D50" s="584"/>
      <c r="E50" s="585"/>
      <c r="F50" s="585"/>
      <c r="G50" s="585"/>
      <c r="H50" s="585"/>
      <c r="I50" s="585"/>
      <c r="J50" s="585"/>
      <c r="K50" s="585"/>
      <c r="L50" s="659">
        <f>SUM(D50:INDEX(D50:K50,0,MATCH('RFPR cover'!$C$7,$D$6:$K$6,0)))</f>
        <v>0</v>
      </c>
      <c r="M50" s="660">
        <f t="shared" ref="M50:M56" si="14">SUM(D50:K50)</f>
        <v>0</v>
      </c>
      <c r="N50" s="575"/>
      <c r="O50"/>
      <c r="P50"/>
      <c r="Q50"/>
      <c r="R50"/>
      <c r="S50"/>
      <c r="T50"/>
    </row>
    <row r="51" spans="1:20">
      <c r="A51" s="269" t="s">
        <v>152</v>
      </c>
      <c r="B51" s="775" t="s">
        <v>241</v>
      </c>
      <c r="C51" s="155" t="str">
        <f>'RFPR cover'!$C$14</f>
        <v>£m 12/13</v>
      </c>
      <c r="D51" s="588"/>
      <c r="E51" s="589"/>
      <c r="F51" s="589"/>
      <c r="G51" s="589"/>
      <c r="H51" s="589"/>
      <c r="I51" s="589"/>
      <c r="J51" s="589"/>
      <c r="K51" s="589"/>
      <c r="L51" s="661">
        <f>SUM(D51:INDEX(D51:K51,0,MATCH('RFPR cover'!$C$7,$D$6:$K$6,0)))</f>
        <v>0</v>
      </c>
      <c r="M51" s="662">
        <f t="shared" si="14"/>
        <v>0</v>
      </c>
      <c r="N51" s="576"/>
      <c r="O51"/>
      <c r="P51"/>
      <c r="Q51"/>
      <c r="R51"/>
      <c r="S51"/>
      <c r="T51"/>
    </row>
    <row r="52" spans="1:20">
      <c r="A52" s="269" t="s">
        <v>153</v>
      </c>
      <c r="B52" s="775" t="s">
        <v>241</v>
      </c>
      <c r="C52" s="155" t="str">
        <f>'RFPR cover'!$C$14</f>
        <v>£m 12/13</v>
      </c>
      <c r="D52" s="588"/>
      <c r="E52" s="589"/>
      <c r="F52" s="589"/>
      <c r="G52" s="589"/>
      <c r="H52" s="589"/>
      <c r="I52" s="589"/>
      <c r="J52" s="589"/>
      <c r="K52" s="589"/>
      <c r="L52" s="661">
        <f>SUM(D52:INDEX(D52:K52,0,MATCH('RFPR cover'!$C$7,$D$6:$K$6,0)))</f>
        <v>0</v>
      </c>
      <c r="M52" s="662">
        <f t="shared" si="14"/>
        <v>0</v>
      </c>
      <c r="N52" s="576"/>
      <c r="O52"/>
      <c r="P52"/>
      <c r="Q52"/>
      <c r="R52"/>
      <c r="S52" s="65"/>
      <c r="T52"/>
    </row>
    <row r="53" spans="1:20">
      <c r="A53" s="269" t="s">
        <v>167</v>
      </c>
      <c r="B53" s="775" t="s">
        <v>241</v>
      </c>
      <c r="C53" s="155" t="str">
        <f>'RFPR cover'!$C$14</f>
        <v>£m 12/13</v>
      </c>
      <c r="D53" s="588"/>
      <c r="E53" s="589"/>
      <c r="F53" s="589"/>
      <c r="G53" s="589"/>
      <c r="H53" s="589"/>
      <c r="I53" s="589"/>
      <c r="J53" s="589"/>
      <c r="K53" s="589"/>
      <c r="L53" s="661">
        <f>SUM(D53:INDEX(D53:K53,0,MATCH('RFPR cover'!$C$7,$D$6:$K$6,0)))</f>
        <v>0</v>
      </c>
      <c r="M53" s="662">
        <f t="shared" si="14"/>
        <v>0</v>
      </c>
      <c r="N53" s="576"/>
      <c r="O53"/>
      <c r="P53"/>
      <c r="Q53"/>
      <c r="R53"/>
      <c r="S53"/>
      <c r="T53"/>
    </row>
    <row r="54" spans="1:20">
      <c r="A54" s="269" t="s">
        <v>168</v>
      </c>
      <c r="B54" s="775" t="s">
        <v>241</v>
      </c>
      <c r="C54" s="155" t="str">
        <f>'RFPR cover'!$C$14</f>
        <v>£m 12/13</v>
      </c>
      <c r="D54" s="588"/>
      <c r="E54" s="589"/>
      <c r="F54" s="589"/>
      <c r="G54" s="589"/>
      <c r="H54" s="589"/>
      <c r="I54" s="589"/>
      <c r="J54" s="589"/>
      <c r="K54" s="589"/>
      <c r="L54" s="661">
        <f>SUM(D54:INDEX(D54:K54,0,MATCH('RFPR cover'!$C$7,$D$6:$K$6,0)))</f>
        <v>0</v>
      </c>
      <c r="M54" s="662">
        <f t="shared" si="14"/>
        <v>0</v>
      </c>
      <c r="N54" s="576"/>
      <c r="O54"/>
      <c r="P54"/>
      <c r="Q54"/>
      <c r="R54"/>
      <c r="S54"/>
      <c r="T54"/>
    </row>
    <row r="55" spans="1:20">
      <c r="A55" s="269" t="s">
        <v>169</v>
      </c>
      <c r="B55" s="775" t="s">
        <v>241</v>
      </c>
      <c r="C55" s="155" t="str">
        <f>'RFPR cover'!$C$14</f>
        <v>£m 12/13</v>
      </c>
      <c r="D55" s="592"/>
      <c r="E55" s="593"/>
      <c r="F55" s="593"/>
      <c r="G55" s="593"/>
      <c r="H55" s="593"/>
      <c r="I55" s="593"/>
      <c r="J55" s="593"/>
      <c r="K55" s="593"/>
      <c r="L55" s="663">
        <f>SUM(D55:INDEX(D55:K55,0,MATCH('RFPR cover'!$C$7,$D$6:$K$6,0)))</f>
        <v>0</v>
      </c>
      <c r="M55" s="664">
        <f t="shared" si="14"/>
        <v>0</v>
      </c>
      <c r="N55" s="577"/>
      <c r="O55"/>
      <c r="P55"/>
      <c r="Q55"/>
      <c r="R55"/>
      <c r="S55"/>
      <c r="T55"/>
    </row>
    <row r="56" spans="1:20">
      <c r="A56" s="35"/>
      <c r="B56" s="785" t="s">
        <v>189</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7"/>
      <c r="N57" s="351"/>
    </row>
    <row r="58" spans="1:20">
      <c r="A58" s="35"/>
      <c r="B58" s="784" t="s">
        <v>197</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8">
        <f>SUM(D58:K58)</f>
        <v>0</v>
      </c>
      <c r="N58" s="353"/>
    </row>
    <row r="59" spans="1:20">
      <c r="A59" s="35"/>
      <c r="B59" s="784" t="s">
        <v>307</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9">
        <f>SUM(D59:K59)</f>
        <v>0</v>
      </c>
      <c r="N59" s="353"/>
    </row>
    <row r="60" spans="1:20">
      <c r="A60" s="35"/>
      <c r="B60" s="777"/>
      <c r="N60" s="351"/>
    </row>
    <row r="61" spans="1:20">
      <c r="A61" s="35"/>
      <c r="B61" s="785" t="s">
        <v>180</v>
      </c>
      <c r="N61" s="351"/>
    </row>
    <row r="62" spans="1:20">
      <c r="A62" s="35"/>
      <c r="B62" s="777" t="s">
        <v>179</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8">
        <f>SUM(D62:K62)</f>
        <v>0</v>
      </c>
      <c r="N62" s="353"/>
    </row>
    <row r="63" spans="1:20">
      <c r="A63" s="35"/>
      <c r="B63" s="777" t="s">
        <v>278</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9">
        <f>SUM(D63:K63)</f>
        <v>0</v>
      </c>
      <c r="N63" s="353"/>
    </row>
    <row r="64" spans="1:20">
      <c r="A64" s="35"/>
      <c r="B64" s="785"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85"/>
      <c r="C65" s="156"/>
      <c r="D65" s="156"/>
      <c r="E65" s="156"/>
      <c r="F65" s="156"/>
      <c r="G65" s="156"/>
      <c r="H65" s="156"/>
      <c r="I65" s="156"/>
      <c r="J65" s="156"/>
      <c r="K65" s="156"/>
      <c r="L65" s="156"/>
      <c r="M65" s="156"/>
    </row>
    <row r="66" spans="1:20">
      <c r="A66" s="35"/>
      <c r="B66" s="780" t="s">
        <v>255</v>
      </c>
      <c r="C66" s="150"/>
      <c r="D66" s="82"/>
      <c r="E66" s="82"/>
      <c r="F66" s="82"/>
      <c r="G66" s="82"/>
      <c r="H66" s="82"/>
      <c r="I66" s="82"/>
      <c r="J66" s="82"/>
      <c r="K66" s="82"/>
      <c r="L66" s="82"/>
      <c r="M66" s="82"/>
      <c r="N66" s="82"/>
    </row>
    <row r="67" spans="1:20">
      <c r="A67" s="35"/>
      <c r="B67" s="777"/>
      <c r="O67"/>
      <c r="P67"/>
      <c r="Q67"/>
      <c r="R67"/>
      <c r="S67"/>
      <c r="T67"/>
    </row>
    <row r="68" spans="1:20">
      <c r="A68" s="35"/>
      <c r="B68" s="785" t="s">
        <v>180</v>
      </c>
    </row>
    <row r="69" spans="1:20">
      <c r="A69" s="35"/>
      <c r="B69" s="777" t="s">
        <v>179</v>
      </c>
      <c r="C69" s="155" t="str">
        <f>'RFPR cover'!$C$14</f>
        <v>£m 12/13</v>
      </c>
      <c r="D69" s="95">
        <f>D34+D62</f>
        <v>0.55420669507883513</v>
      </c>
      <c r="E69" s="96">
        <f t="shared" ref="E69:K69" si="21">E34+E62</f>
        <v>0.31992087257513457</v>
      </c>
      <c r="F69" s="96">
        <f t="shared" si="21"/>
        <v>0.33292201108325514</v>
      </c>
      <c r="G69" s="96">
        <f t="shared" si="21"/>
        <v>0.52807175338391232</v>
      </c>
      <c r="H69" s="96">
        <f t="shared" si="21"/>
        <v>-11.182015483626053</v>
      </c>
      <c r="I69" s="96">
        <f t="shared" si="21"/>
        <v>-11.16789641535884</v>
      </c>
      <c r="J69" s="96">
        <f t="shared" si="21"/>
        <v>-11.181225976092328</v>
      </c>
      <c r="K69" s="96">
        <f t="shared" si="21"/>
        <v>-11.249341201048267</v>
      </c>
      <c r="L69" s="95">
        <f>SUM(D69:INDEX(D69:K69,0,MATCH('RFPR cover'!$C$7,$D$6:$K$6,0)))</f>
        <v>-20.614790566863753</v>
      </c>
      <c r="M69" s="97">
        <f>SUM(D69:K69)</f>
        <v>-43.045357744004349</v>
      </c>
    </row>
    <row r="70" spans="1:20">
      <c r="A70" s="35"/>
      <c r="B70" s="777" t="s">
        <v>278</v>
      </c>
      <c r="C70" s="155" t="str">
        <f>'RFPR cover'!$C$14</f>
        <v>£m 12/13</v>
      </c>
      <c r="D70" s="522">
        <f t="shared" ref="D70:K70" si="22">D35+D63</f>
        <v>0.63763565992941285</v>
      </c>
      <c r="E70" s="523">
        <f t="shared" si="22"/>
        <v>0.36808100393053156</v>
      </c>
      <c r="F70" s="523">
        <f t="shared" si="22"/>
        <v>0.38303930307428224</v>
      </c>
      <c r="G70" s="523">
        <f t="shared" si="22"/>
        <v>0.60756642593632648</v>
      </c>
      <c r="H70" s="523">
        <f t="shared" si="22"/>
        <v>-12.865329642451481</v>
      </c>
      <c r="I70" s="523">
        <f t="shared" si="22"/>
        <v>-12.849085123047267</v>
      </c>
      <c r="J70" s="523">
        <f t="shared" si="22"/>
        <v>-12.864421284321281</v>
      </c>
      <c r="K70" s="523">
        <f t="shared" si="22"/>
        <v>-12.942790414109297</v>
      </c>
      <c r="L70" s="522">
        <f>SUM(D70:INDEX(D70:K70,0,MATCH('RFPR cover'!$C$7,$D$6:$K$6,0)))</f>
        <v>-23.718092372628195</v>
      </c>
      <c r="M70" s="524">
        <f>SUM(D70:K70)</f>
        <v>-49.52530407105877</v>
      </c>
    </row>
    <row r="71" spans="1:20">
      <c r="A71" s="35"/>
      <c r="B71" s="785" t="s">
        <v>11</v>
      </c>
      <c r="C71" s="156" t="str">
        <f>'RFPR cover'!$C$14</f>
        <v>£m 12/13</v>
      </c>
      <c r="D71" s="145">
        <f>SUM(D69:D70)</f>
        <v>1.191842355008248</v>
      </c>
      <c r="E71" s="146">
        <f t="shared" ref="E71:K71" si="23">SUM(E69:E70)</f>
        <v>0.68800187650566613</v>
      </c>
      <c r="F71" s="146">
        <f t="shared" si="23"/>
        <v>0.71596131415753739</v>
      </c>
      <c r="G71" s="146">
        <f t="shared" si="23"/>
        <v>1.1356381793202388</v>
      </c>
      <c r="H71" s="146">
        <f t="shared" si="23"/>
        <v>-24.047345126077534</v>
      </c>
      <c r="I71" s="146">
        <f t="shared" si="23"/>
        <v>-24.016981538406107</v>
      </c>
      <c r="J71" s="146">
        <f t="shared" si="23"/>
        <v>-24.04564726041361</v>
      </c>
      <c r="K71" s="146">
        <f t="shared" si="23"/>
        <v>-24.192131615157564</v>
      </c>
      <c r="L71" s="145">
        <f>SUM(D71:INDEX(D71:K71,0,MATCH('RFPR cover'!$C$7,$D$6:$K$6,0)))</f>
        <v>-44.332882939491952</v>
      </c>
      <c r="M71" s="147">
        <f>SUM(D71:K71)</f>
        <v>-92.570661815063119</v>
      </c>
    </row>
    <row r="72" spans="1:20">
      <c r="A72" s="35"/>
      <c r="B72" s="785"/>
      <c r="C72" s="156"/>
      <c r="D72" s="156"/>
      <c r="E72" s="156"/>
      <c r="F72" s="156"/>
      <c r="G72" s="156"/>
      <c r="H72" s="156"/>
      <c r="I72" s="156"/>
      <c r="J72" s="156"/>
      <c r="K72" s="156"/>
      <c r="L72" s="156"/>
      <c r="M72" s="156"/>
    </row>
    <row r="73" spans="1:20">
      <c r="A73" s="35"/>
      <c r="B73" s="777"/>
    </row>
    <row r="74" spans="1:20">
      <c r="A74" s="35"/>
      <c r="B74" s="780" t="s">
        <v>213</v>
      </c>
      <c r="C74" s="150"/>
      <c r="D74" s="81"/>
      <c r="E74" s="81"/>
      <c r="F74" s="81"/>
      <c r="G74" s="81"/>
      <c r="H74" s="81"/>
      <c r="I74" s="81"/>
      <c r="J74" s="81"/>
      <c r="K74" s="81"/>
      <c r="L74" s="81"/>
      <c r="M74" s="81"/>
      <c r="N74" s="81"/>
    </row>
    <row r="75" spans="1:20">
      <c r="A75" s="35"/>
      <c r="B75" s="369" t="s">
        <v>212</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84" t="s">
        <v>216</v>
      </c>
      <c r="C77" s="155" t="str">
        <f>'RFPR cover'!$C$14</f>
        <v>£m 12/13</v>
      </c>
      <c r="D77" s="665">
        <f>INDEX(Data!$C$119:$L$146,MATCH('RFPR cover'!$C$5,Data!$B$119:$B$146,0),MATCH('R4 - Totex'!D$6,Data!$C$118:$L$118,0))</f>
        <v>-2.1317145269512103</v>
      </c>
      <c r="E77" s="666">
        <f>INDEX(Data!$C$119:$L$146,MATCH('RFPR cover'!$C$5,Data!$B$119:$B$146,0),MATCH('R4 - Totex'!E$6,Data!$C$118:$L$118,0))</f>
        <v>-2.193973633026753</v>
      </c>
      <c r="F77" s="666">
        <f>INDEX(Data!$C$119:$L$146,MATCH('RFPR cover'!$C$5,Data!$B$119:$B$146,0),MATCH('R4 - Totex'!F$6,Data!$C$118:$L$118,0))</f>
        <v>-1.9869010217130036</v>
      </c>
      <c r="G77" s="666">
        <f>INDEX(Data!$C$119:$L$146,MATCH('RFPR cover'!$C$5,Data!$B$119:$B$146,0),MATCH('R4 - Totex'!G$6,Data!$C$118:$L$118,0))</f>
        <v>-1.8037552784318813</v>
      </c>
      <c r="H77" s="666">
        <f>INDEX(Data!$C$119:$L$146,MATCH('RFPR cover'!$C$5,Data!$B$119:$B$146,0),MATCH('R4 - Totex'!H$6,Data!$C$118:$L$118,0))</f>
        <v>-1.7767942495618843</v>
      </c>
      <c r="I77" s="666">
        <f>INDEX(Data!$C$119:$L$146,MATCH('RFPR cover'!$C$5,Data!$B$119:$B$146,0),MATCH('R4 - Totex'!I$6,Data!$C$118:$L$118,0))</f>
        <v>-1.7901472583807538</v>
      </c>
      <c r="J77" s="666">
        <f>INDEX(Data!$C$119:$L$146,MATCH('RFPR cover'!$C$5,Data!$B$119:$B$146,0),MATCH('R4 - Totex'!J$6,Data!$C$118:$L$118,0))</f>
        <v>-1.6444113686346382</v>
      </c>
      <c r="K77" s="667">
        <f>INDEX(Data!$C$119:$L$146,MATCH('RFPR cover'!$C$5,Data!$B$119:$B$146,0),MATCH('R4 - Totex'!K$6,Data!$C$118:$L$118,0))</f>
        <v>-1.467384504290556</v>
      </c>
      <c r="L77" s="98">
        <f>SUM(D77:INDEX(D77:K77,0,MATCH('RFPR cover'!$C$7,$D$6:$K$6,0)))</f>
        <v>-11.683285968065487</v>
      </c>
      <c r="M77" s="100">
        <f>SUM(D77:K77)</f>
        <v>-14.795081840990683</v>
      </c>
    </row>
    <row r="78" spans="1:20">
      <c r="A78" s="35"/>
      <c r="B78" s="225" t="s">
        <v>200</v>
      </c>
      <c r="C78" s="155" t="s">
        <v>7</v>
      </c>
      <c r="D78" s="889" t="str">
        <f>IF(INDEX(Data!$J$73:$J$100,MATCH('RFPR cover'!$C$5,Data!$B$73:$B$100,0),0)="Pre",INDEX(Data!$G$18:$G$27,MATCH('R4 - Totex'!D$6,Data!$C$18:$C$27,0),0),"n/a")</f>
        <v>n/a</v>
      </c>
      <c r="E78" s="889" t="str">
        <f>IF(INDEX(Data!$J$73:$J$100,MATCH('RFPR cover'!$C$5,Data!$B$73:$B$100,0),0)="Pre",INDEX(Data!$G$18:$G$27,MATCH('R4 - Totex'!E$6,Data!$C$18:$C$27,0),0),"n/a")</f>
        <v>n/a</v>
      </c>
      <c r="F78" s="889" t="str">
        <f>IF(INDEX(Data!$J$73:$J$100,MATCH('RFPR cover'!$C$5,Data!$B$73:$B$100,0),0)="Pre",INDEX(Data!$G$18:$G$27,MATCH('R4 - Totex'!F$6,Data!$C$18:$C$27,0),0),"n/a")</f>
        <v>n/a</v>
      </c>
      <c r="G78" s="889" t="str">
        <f>IF(INDEX(Data!$J$73:$J$100,MATCH('RFPR cover'!$C$5,Data!$B$73:$B$100,0),0)="Pre",INDEX(Data!$G$18:$G$27,MATCH('R4 - Totex'!G$6,Data!$C$18:$C$27,0),0),"n/a")</f>
        <v>n/a</v>
      </c>
      <c r="H78" s="889" t="str">
        <f>IF(INDEX(Data!$J$73:$J$100,MATCH('RFPR cover'!$C$5,Data!$B$73:$B$100,0),0)="Pre",INDEX(Data!$G$18:$G$27,MATCH('R4 - Totex'!H$6,Data!$C$18:$C$27,0),0),"n/a")</f>
        <v>n/a</v>
      </c>
      <c r="I78" s="889" t="str">
        <f>IF(INDEX(Data!$J$73:$J$100,MATCH('RFPR cover'!$C$5,Data!$B$73:$B$100,0),0)="Pre",INDEX(Data!$G$18:$G$27,MATCH('R4 - Totex'!I$6,Data!$C$18:$C$27,0),0),"n/a")</f>
        <v>n/a</v>
      </c>
      <c r="J78" s="889" t="str">
        <f>IF(INDEX(Data!$J$73:$J$100,MATCH('RFPR cover'!$C$5,Data!$B$73:$B$100,0),0)="Pre",INDEX(Data!$G$18:$G$27,MATCH('R4 - Totex'!J$6,Data!$C$18:$C$27,0),0),"n/a")</f>
        <v>n/a</v>
      </c>
      <c r="K78" s="889" t="str">
        <f>IF(INDEX(Data!$J$73:$J$100,MATCH('RFPR cover'!$C$5,Data!$B$73:$B$100,0),0)="Pre",INDEX(Data!$G$18:$G$27,MATCH('R4 - Totex'!K$6,Data!$C$18:$C$27,0),0),"n/a")</f>
        <v>n/a</v>
      </c>
      <c r="L78" s="887"/>
      <c r="M78" s="888"/>
    </row>
    <row r="79" spans="1:20">
      <c r="A79" s="35"/>
      <c r="B79" s="225" t="s">
        <v>209</v>
      </c>
      <c r="C79" s="155" t="str">
        <f>'RFPR cover'!$C$14</f>
        <v>£m 12/13</v>
      </c>
      <c r="D79" s="612">
        <f>IF(ISNUMBER(D78),D77*(1-D78),D77)</f>
        <v>-2.1317145269512103</v>
      </c>
      <c r="E79" s="613">
        <f t="shared" ref="E79:K79" si="24">IF(ISNUMBER(E78),E77*(1-E78),E77)</f>
        <v>-2.193973633026753</v>
      </c>
      <c r="F79" s="613">
        <f t="shared" si="24"/>
        <v>-1.9869010217130036</v>
      </c>
      <c r="G79" s="613">
        <f t="shared" si="24"/>
        <v>-1.8037552784318813</v>
      </c>
      <c r="H79" s="613">
        <f t="shared" si="24"/>
        <v>-1.7767942495618843</v>
      </c>
      <c r="I79" s="613">
        <f t="shared" si="24"/>
        <v>-1.7901472583807538</v>
      </c>
      <c r="J79" s="613">
        <f t="shared" si="24"/>
        <v>-1.6444113686346382</v>
      </c>
      <c r="K79" s="614">
        <f t="shared" si="24"/>
        <v>-1.467384504290556</v>
      </c>
      <c r="L79" s="671">
        <f>SUM(D79:INDEX(D79:K79,0,MATCH('RFPR cover'!$C$7,$D$6:$K$6,0)))</f>
        <v>-11.683285968065487</v>
      </c>
      <c r="M79" s="672">
        <f>SUM(D79:K79)</f>
        <v>-14.795081840990683</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77"/>
    </row>
    <row r="84" spans="1:20">
      <c r="A84" s="35"/>
      <c r="B84" s="779" t="s">
        <v>186</v>
      </c>
      <c r="C84" s="291"/>
      <c r="D84" s="293"/>
      <c r="E84" s="293"/>
      <c r="F84" s="293"/>
      <c r="G84" s="293"/>
      <c r="H84" s="293"/>
      <c r="I84" s="293"/>
      <c r="J84" s="293"/>
      <c r="K84" s="293"/>
      <c r="L84" s="293"/>
      <c r="M84" s="293"/>
      <c r="N84" s="293"/>
    </row>
    <row r="85" spans="1:20">
      <c r="A85" s="35"/>
      <c r="B85" s="785"/>
    </row>
    <row r="86" spans="1:20">
      <c r="A86" s="35"/>
      <c r="B86" s="784"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1.202275126868976</v>
      </c>
      <c r="J86" s="113">
        <f>Data!I$34</f>
        <v>1.2341354177310038</v>
      </c>
      <c r="K86" s="114">
        <f>Data!J$34</f>
        <v>1.2720850818262321</v>
      </c>
    </row>
    <row r="87" spans="1:20">
      <c r="A87" s="35"/>
      <c r="B87" s="784"/>
      <c r="D87" s="136"/>
      <c r="E87" s="136"/>
      <c r="F87" s="136"/>
      <c r="G87" s="136"/>
      <c r="H87" s="136"/>
      <c r="I87" s="136"/>
      <c r="J87" s="136"/>
      <c r="K87" s="136"/>
    </row>
    <row r="88" spans="1:20">
      <c r="A88" s="35"/>
      <c r="B88" s="780" t="str">
        <f>B10</f>
        <v>Totex</v>
      </c>
      <c r="C88" s="150"/>
      <c r="D88" s="82"/>
      <c r="E88" s="82"/>
      <c r="F88" s="82"/>
      <c r="G88" s="82"/>
      <c r="H88" s="82"/>
      <c r="I88" s="82"/>
      <c r="J88" s="82"/>
      <c r="K88" s="82"/>
      <c r="L88" s="82"/>
      <c r="M88" s="82"/>
      <c r="N88" s="82"/>
    </row>
    <row r="89" spans="1:20" s="35" customFormat="1">
      <c r="B89" s="781"/>
      <c r="C89" s="138"/>
      <c r="D89" s="320"/>
      <c r="E89" s="320"/>
      <c r="F89" s="320"/>
      <c r="G89" s="320"/>
      <c r="H89" s="320"/>
      <c r="I89" s="320"/>
      <c r="J89" s="320"/>
      <c r="K89" s="320"/>
      <c r="L89" s="320"/>
      <c r="M89" s="320"/>
      <c r="N89" s="320"/>
    </row>
    <row r="90" spans="1:20">
      <c r="A90" s="35"/>
      <c r="B90" s="305" t="s">
        <v>34</v>
      </c>
      <c r="C90" s="155" t="s">
        <v>128</v>
      </c>
      <c r="D90" s="674">
        <f t="shared" ref="D90:K91" si="25">D12*D$86</f>
        <v>240.11642136538276</v>
      </c>
      <c r="E90" s="674">
        <f t="shared" si="25"/>
        <v>256.61387466175569</v>
      </c>
      <c r="F90" s="674">
        <f t="shared" si="25"/>
        <v>270.44276693581941</v>
      </c>
      <c r="G90" s="674">
        <f t="shared" si="25"/>
        <v>290.88877681712836</v>
      </c>
      <c r="H90" s="674">
        <f t="shared" si="25"/>
        <v>272.29014395766211</v>
      </c>
      <c r="I90" s="674">
        <f t="shared" si="25"/>
        <v>249.70950271027195</v>
      </c>
      <c r="J90" s="674">
        <f t="shared" si="25"/>
        <v>256.32985623954482</v>
      </c>
      <c r="K90" s="674">
        <f t="shared" si="25"/>
        <v>284.05920694956291</v>
      </c>
      <c r="L90" s="673">
        <f>SUM(D90:INDEX(D90:K90,0,MATCH('RFPR cover'!$C$7,$D$6:$K$6,0)))</f>
        <v>1580.0614864480203</v>
      </c>
      <c r="M90" s="674">
        <f>SUM(D90:K90)</f>
        <v>2120.450549637128</v>
      </c>
      <c r="N90" s="63"/>
      <c r="O90" s="63"/>
    </row>
    <row r="91" spans="1:20" ht="25.5">
      <c r="A91" s="35"/>
      <c r="B91" s="782" t="s">
        <v>196</v>
      </c>
      <c r="C91" s="155" t="s">
        <v>128</v>
      </c>
      <c r="D91" s="674">
        <f t="shared" si="25"/>
        <v>250.56019890227594</v>
      </c>
      <c r="E91" s="674">
        <f t="shared" si="25"/>
        <v>266.02028368093607</v>
      </c>
      <c r="F91" s="674">
        <f t="shared" si="25"/>
        <v>252.96632009349571</v>
      </c>
      <c r="G91" s="674">
        <f t="shared" si="25"/>
        <v>240.08535511269253</v>
      </c>
      <c r="H91" s="674">
        <f t="shared" si="25"/>
        <v>245.26926367919708</v>
      </c>
      <c r="I91" s="674">
        <f t="shared" si="25"/>
        <v>252.21386399545517</v>
      </c>
      <c r="J91" s="674">
        <f t="shared" si="25"/>
        <v>253.9286640450571</v>
      </c>
      <c r="K91" s="674">
        <f t="shared" si="25"/>
        <v>247.0854928058165</v>
      </c>
      <c r="L91" s="675">
        <f>SUM(D91:INDEX(D91:K91,0,MATCH('RFPR cover'!$C$7,$D$6:$K$6,0)))</f>
        <v>1507.1152854640525</v>
      </c>
      <c r="M91" s="676">
        <f>SUM(D91:K91)</f>
        <v>2008.1294423149261</v>
      </c>
      <c r="N91" s="63"/>
      <c r="O91" s="63"/>
    </row>
    <row r="92" spans="1:20">
      <c r="A92" s="35"/>
      <c r="B92" s="783" t="s">
        <v>194</v>
      </c>
      <c r="C92" s="155" t="s">
        <v>128</v>
      </c>
      <c r="D92" s="102">
        <f>D91-D90</f>
        <v>10.44377753689318</v>
      </c>
      <c r="E92" s="103">
        <f t="shared" ref="E92:M92" si="26">E91-E90</f>
        <v>9.4064090191803871</v>
      </c>
      <c r="F92" s="103">
        <f t="shared" si="26"/>
        <v>-17.476446842323696</v>
      </c>
      <c r="G92" s="103">
        <f t="shared" si="26"/>
        <v>-50.803421704435834</v>
      </c>
      <c r="H92" s="103">
        <f t="shared" si="26"/>
        <v>-27.020880278465029</v>
      </c>
      <c r="I92" s="103">
        <f t="shared" si="26"/>
        <v>2.5043612851832222</v>
      </c>
      <c r="J92" s="103">
        <f t="shared" si="26"/>
        <v>-2.4011921944877201</v>
      </c>
      <c r="K92" s="104">
        <f t="shared" si="26"/>
        <v>-36.973714143746406</v>
      </c>
      <c r="L92" s="102">
        <f t="shared" si="26"/>
        <v>-72.946200983967856</v>
      </c>
      <c r="M92" s="104">
        <f t="shared" si="26"/>
        <v>-112.3211073222019</v>
      </c>
      <c r="N92" s="63"/>
      <c r="O92" s="996"/>
      <c r="P92" s="996"/>
      <c r="Q92" s="996"/>
      <c r="R92"/>
      <c r="S92"/>
      <c r="T92"/>
    </row>
    <row r="93" spans="1:20">
      <c r="A93" s="35"/>
      <c r="B93" s="783"/>
      <c r="C93" s="155"/>
      <c r="D93" s="59"/>
      <c r="E93" s="59"/>
      <c r="F93" s="59"/>
      <c r="G93" s="59"/>
      <c r="H93" s="59"/>
      <c r="I93" s="59"/>
      <c r="J93" s="59"/>
      <c r="K93" s="59"/>
      <c r="L93" s="59"/>
      <c r="M93" s="59"/>
      <c r="O93" s="64"/>
      <c r="P93" s="64"/>
      <c r="Q93" s="64"/>
      <c r="R93"/>
      <c r="S93"/>
      <c r="T93"/>
    </row>
    <row r="94" spans="1:20">
      <c r="A94" s="35"/>
      <c r="B94" s="777" t="s">
        <v>177</v>
      </c>
      <c r="C94" s="136" t="s">
        <v>7</v>
      </c>
      <c r="D94" s="109">
        <f>1-INDEX(Data!$D$73:$D$100,MATCH('RFPR cover'!$C$5,Data!$B$73:$B$100,0),0)</f>
        <v>0.46499999999999997</v>
      </c>
      <c r="E94" s="110">
        <f>1-INDEX(Data!$D$73:$D$100,MATCH('RFPR cover'!$C$5,Data!$B$73:$B$100,0),0)</f>
        <v>0.46499999999999997</v>
      </c>
      <c r="F94" s="110">
        <f>1-INDEX(Data!$D$73:$D$100,MATCH('RFPR cover'!$C$5,Data!$B$73:$B$100,0),0)</f>
        <v>0.46499999999999997</v>
      </c>
      <c r="G94" s="110">
        <f>1-INDEX(Data!$D$73:$D$100,MATCH('RFPR cover'!$C$5,Data!$B$73:$B$100,0),0)</f>
        <v>0.46499999999999997</v>
      </c>
      <c r="H94" s="110">
        <f>1-INDEX(Data!$D$73:$D$100,MATCH('RFPR cover'!$C$5,Data!$B$73:$B$100,0),0)</f>
        <v>0.46499999999999997</v>
      </c>
      <c r="I94" s="110">
        <f>1-INDEX(Data!$D$73:$D$100,MATCH('RFPR cover'!$C$5,Data!$B$73:$B$100,0),0)</f>
        <v>0.46499999999999997</v>
      </c>
      <c r="J94" s="110">
        <f>1-INDEX(Data!$D$73:$D$100,MATCH('RFPR cover'!$C$5,Data!$B$73:$B$100,0),0)</f>
        <v>0.46499999999999997</v>
      </c>
      <c r="K94" s="111">
        <f>1-INDEX(Data!$D$73:$D$100,MATCH('RFPR cover'!$C$5,Data!$B$73:$B$100,0),0)</f>
        <v>0.46499999999999997</v>
      </c>
      <c r="L94" s="62"/>
      <c r="M94" s="62"/>
      <c r="O94"/>
      <c r="P94"/>
      <c r="Q94"/>
      <c r="R94"/>
      <c r="S94"/>
      <c r="T94"/>
    </row>
    <row r="95" spans="1:20">
      <c r="A95" s="35"/>
      <c r="B95" s="777"/>
      <c r="O95"/>
      <c r="P95"/>
      <c r="Q95"/>
      <c r="R95"/>
      <c r="S95"/>
      <c r="T95"/>
    </row>
    <row r="96" spans="1:20">
      <c r="A96" s="35"/>
      <c r="B96" s="784" t="s">
        <v>182</v>
      </c>
      <c r="C96" s="155" t="s">
        <v>128</v>
      </c>
      <c r="D96" s="95">
        <f>D92*D94</f>
        <v>4.8563565546553278</v>
      </c>
      <c r="E96" s="96">
        <f t="shared" ref="E96:K96" si="27">E92*E94</f>
        <v>4.3739801939188796</v>
      </c>
      <c r="F96" s="96">
        <f t="shared" si="27"/>
        <v>-8.1265477816805181</v>
      </c>
      <c r="G96" s="96">
        <f t="shared" si="27"/>
        <v>-23.623591092562663</v>
      </c>
      <c r="H96" s="96">
        <f t="shared" si="27"/>
        <v>-12.564709329486238</v>
      </c>
      <c r="I96" s="96">
        <f t="shared" si="27"/>
        <v>1.1645279976101983</v>
      </c>
      <c r="J96" s="96">
        <f t="shared" si="27"/>
        <v>-1.1165543704367897</v>
      </c>
      <c r="K96" s="96">
        <f t="shared" si="27"/>
        <v>-17.192777076842077</v>
      </c>
      <c r="L96" s="95">
        <f>SUM(D96:INDEX(D96:K96,0,MATCH('RFPR cover'!$C$7,$D$6:$K$6,0)))</f>
        <v>-33.919983457545008</v>
      </c>
      <c r="M96" s="97">
        <f>SUM(D96:K96)</f>
        <v>-52.229314904823873</v>
      </c>
      <c r="O96"/>
      <c r="P96"/>
      <c r="Q96"/>
      <c r="R96"/>
      <c r="S96"/>
      <c r="T96"/>
    </row>
    <row r="97" spans="1:20">
      <c r="A97" s="35"/>
      <c r="B97" s="784" t="s">
        <v>278</v>
      </c>
      <c r="C97" s="155" t="s">
        <v>128</v>
      </c>
      <c r="D97" s="92">
        <f>D92*(1-D94)</f>
        <v>5.5874209822378518</v>
      </c>
      <c r="E97" s="93">
        <f t="shared" ref="E97:K97" si="28">E92*(1-E94)</f>
        <v>5.0324288252615075</v>
      </c>
      <c r="F97" s="93">
        <f t="shared" si="28"/>
        <v>-9.3498990606431782</v>
      </c>
      <c r="G97" s="93">
        <f t="shared" si="28"/>
        <v>-27.179830611873172</v>
      </c>
      <c r="H97" s="93">
        <f t="shared" si="28"/>
        <v>-14.456170948978791</v>
      </c>
      <c r="I97" s="93">
        <f t="shared" si="28"/>
        <v>1.3398332875730239</v>
      </c>
      <c r="J97" s="93">
        <f t="shared" si="28"/>
        <v>-1.2846378240509304</v>
      </c>
      <c r="K97" s="93">
        <f t="shared" si="28"/>
        <v>-19.780937066904329</v>
      </c>
      <c r="L97" s="92">
        <f>SUM(D97:INDEX(D97:K97,0,MATCH('RFPR cover'!$C$7,$D$6:$K$6,0)))</f>
        <v>-39.026217526422762</v>
      </c>
      <c r="M97" s="94">
        <f>SUM(D97:K97)</f>
        <v>-60.091792417378024</v>
      </c>
      <c r="O97"/>
      <c r="P97"/>
      <c r="Q97"/>
      <c r="R97"/>
      <c r="S97"/>
      <c r="T97"/>
    </row>
    <row r="98" spans="1:20">
      <c r="A98" s="35"/>
      <c r="B98" s="777"/>
      <c r="O98"/>
      <c r="P98"/>
      <c r="Q98"/>
      <c r="R98"/>
      <c r="S98"/>
      <c r="T98"/>
    </row>
    <row r="99" spans="1:20">
      <c r="A99" s="35"/>
      <c r="B99" s="785" t="s">
        <v>181</v>
      </c>
      <c r="N99" s="63"/>
      <c r="O99"/>
      <c r="P99"/>
      <c r="Q99"/>
      <c r="R99"/>
      <c r="S99"/>
      <c r="T99"/>
    </row>
    <row r="100" spans="1:20">
      <c r="A100" s="269" t="s">
        <v>151</v>
      </c>
      <c r="B100" s="225" t="str">
        <f t="shared" ref="B100:B105" si="29">B22</f>
        <v>Timing difference and over/under performance</v>
      </c>
      <c r="C100" s="155" t="s">
        <v>128</v>
      </c>
      <c r="D100" s="594">
        <f t="shared" ref="D100:K105" si="30">D22*D$86</f>
        <v>-9.1800471284458212</v>
      </c>
      <c r="E100" s="594">
        <f t="shared" si="30"/>
        <v>-8.6612777501133387</v>
      </c>
      <c r="F100" s="594">
        <f t="shared" si="30"/>
        <v>18.280875136805832</v>
      </c>
      <c r="G100" s="594">
        <f t="shared" si="30"/>
        <v>52.118371663797646</v>
      </c>
      <c r="H100" s="594">
        <f t="shared" si="30"/>
        <v>-1.5442305098600184</v>
      </c>
      <c r="I100" s="594">
        <f t="shared" si="30"/>
        <v>-31.379380811280274</v>
      </c>
      <c r="J100" s="594">
        <f t="shared" si="30"/>
        <v>-27.274392731855183</v>
      </c>
      <c r="K100" s="594">
        <f t="shared" si="30"/>
        <v>6.1992644185277106</v>
      </c>
      <c r="L100" s="586">
        <f>SUM(D100:INDEX(D100:K100,0,MATCH('RFPR cover'!$C$7,$D$6:$K$6,0)))</f>
        <v>19.634310600904019</v>
      </c>
      <c r="M100" s="587">
        <f t="shared" ref="M100:M106" si="31">SUM(D100:K100)</f>
        <v>-1.4408177124234536</v>
      </c>
      <c r="N100" s="63"/>
      <c r="O100"/>
      <c r="P100"/>
      <c r="Q100"/>
      <c r="R100"/>
      <c r="S100"/>
      <c r="T100"/>
    </row>
    <row r="101" spans="1:20">
      <c r="A101" s="269" t="s">
        <v>152</v>
      </c>
      <c r="B101" s="225" t="str">
        <f t="shared" si="29"/>
        <v>[Enduring Value adjustment]</v>
      </c>
      <c r="C101" s="155" t="s">
        <v>128</v>
      </c>
      <c r="D101" s="594">
        <f t="shared" si="30"/>
        <v>0</v>
      </c>
      <c r="E101" s="594">
        <f t="shared" si="30"/>
        <v>0</v>
      </c>
      <c r="F101" s="594">
        <f t="shared" si="30"/>
        <v>0</v>
      </c>
      <c r="G101" s="594">
        <f t="shared" si="30"/>
        <v>0</v>
      </c>
      <c r="H101" s="594">
        <f t="shared" si="30"/>
        <v>0</v>
      </c>
      <c r="I101" s="594">
        <f t="shared" si="30"/>
        <v>0</v>
      </c>
      <c r="J101" s="594">
        <f t="shared" si="30"/>
        <v>0</v>
      </c>
      <c r="K101" s="594">
        <f t="shared" si="30"/>
        <v>0</v>
      </c>
      <c r="L101" s="590">
        <f>SUM(D101:INDEX(D101:K101,0,MATCH('RFPR cover'!$C$7,$D$6:$K$6,0)))</f>
        <v>0</v>
      </c>
      <c r="M101" s="591">
        <f t="shared" si="31"/>
        <v>0</v>
      </c>
      <c r="N101" s="63"/>
      <c r="O101"/>
      <c r="P101"/>
      <c r="Q101"/>
      <c r="R101"/>
      <c r="S101"/>
      <c r="T101"/>
    </row>
    <row r="102" spans="1:20">
      <c r="A102" s="269" t="s">
        <v>153</v>
      </c>
      <c r="B102" s="225" t="str">
        <f t="shared" si="29"/>
        <v>[Enduring Value adjustment]</v>
      </c>
      <c r="C102" s="155" t="s">
        <v>128</v>
      </c>
      <c r="D102" s="594">
        <f t="shared" si="30"/>
        <v>0</v>
      </c>
      <c r="E102" s="594">
        <f t="shared" si="30"/>
        <v>0</v>
      </c>
      <c r="F102" s="594">
        <f t="shared" si="30"/>
        <v>0</v>
      </c>
      <c r="G102" s="594">
        <f t="shared" si="30"/>
        <v>0</v>
      </c>
      <c r="H102" s="594">
        <f t="shared" si="30"/>
        <v>0</v>
      </c>
      <c r="I102" s="594">
        <f t="shared" si="30"/>
        <v>0</v>
      </c>
      <c r="J102" s="594">
        <f t="shared" si="30"/>
        <v>0</v>
      </c>
      <c r="K102" s="594">
        <f t="shared" si="30"/>
        <v>0</v>
      </c>
      <c r="L102" s="590">
        <f>SUM(D102:INDEX(D102:K102,0,MATCH('RFPR cover'!$C$7,$D$6:$K$6,0)))</f>
        <v>0</v>
      </c>
      <c r="M102" s="591">
        <f t="shared" si="31"/>
        <v>0</v>
      </c>
      <c r="N102" s="63"/>
      <c r="O102"/>
      <c r="P102"/>
      <c r="Q102"/>
      <c r="R102"/>
      <c r="S102" s="65"/>
      <c r="T102"/>
    </row>
    <row r="103" spans="1:20">
      <c r="A103" s="269" t="s">
        <v>167</v>
      </c>
      <c r="B103" s="225" t="str">
        <f t="shared" si="29"/>
        <v>[Enduring Value adjustment]</v>
      </c>
      <c r="C103" s="155" t="s">
        <v>128</v>
      </c>
      <c r="D103" s="594">
        <f t="shared" si="30"/>
        <v>0</v>
      </c>
      <c r="E103" s="594">
        <f t="shared" si="30"/>
        <v>0</v>
      </c>
      <c r="F103" s="594">
        <f t="shared" si="30"/>
        <v>0</v>
      </c>
      <c r="G103" s="594">
        <f t="shared" si="30"/>
        <v>0</v>
      </c>
      <c r="H103" s="594">
        <f t="shared" si="30"/>
        <v>0</v>
      </c>
      <c r="I103" s="594">
        <f t="shared" si="30"/>
        <v>0</v>
      </c>
      <c r="J103" s="594">
        <f t="shared" si="30"/>
        <v>0</v>
      </c>
      <c r="K103" s="594">
        <f t="shared" si="30"/>
        <v>0</v>
      </c>
      <c r="L103" s="590">
        <f>SUM(D103:INDEX(D103:K103,0,MATCH('RFPR cover'!$C$7,$D$6:$K$6,0)))</f>
        <v>0</v>
      </c>
      <c r="M103" s="591">
        <f t="shared" si="31"/>
        <v>0</v>
      </c>
      <c r="N103" s="63"/>
      <c r="O103"/>
      <c r="P103"/>
      <c r="Q103"/>
      <c r="R103"/>
      <c r="S103"/>
      <c r="T103"/>
    </row>
    <row r="104" spans="1:20">
      <c r="A104" s="269" t="s">
        <v>168</v>
      </c>
      <c r="B104" s="225" t="str">
        <f t="shared" si="29"/>
        <v>[Enduring Value adjustment]</v>
      </c>
      <c r="C104" s="155" t="s">
        <v>128</v>
      </c>
      <c r="D104" s="594">
        <f t="shared" si="30"/>
        <v>0</v>
      </c>
      <c r="E104" s="594">
        <f t="shared" si="30"/>
        <v>0</v>
      </c>
      <c r="F104" s="594">
        <f t="shared" si="30"/>
        <v>0</v>
      </c>
      <c r="G104" s="594">
        <f t="shared" si="30"/>
        <v>0</v>
      </c>
      <c r="H104" s="594">
        <f t="shared" si="30"/>
        <v>0</v>
      </c>
      <c r="I104" s="594">
        <f t="shared" si="30"/>
        <v>0</v>
      </c>
      <c r="J104" s="594">
        <f t="shared" si="30"/>
        <v>0</v>
      </c>
      <c r="K104" s="594">
        <f t="shared" si="30"/>
        <v>0</v>
      </c>
      <c r="L104" s="590">
        <f>SUM(D104:INDEX(D104:K104,0,MATCH('RFPR cover'!$C$7,$D$6:$K$6,0)))</f>
        <v>0</v>
      </c>
      <c r="M104" s="591">
        <f t="shared" si="31"/>
        <v>0</v>
      </c>
      <c r="N104" s="63"/>
      <c r="O104"/>
      <c r="P104"/>
      <c r="Q104"/>
      <c r="R104"/>
      <c r="S104"/>
      <c r="T104"/>
    </row>
    <row r="105" spans="1:20">
      <c r="A105" s="269" t="s">
        <v>169</v>
      </c>
      <c r="B105" s="225" t="str">
        <f t="shared" si="29"/>
        <v>[Enduring Value adjustment]</v>
      </c>
      <c r="C105" s="155" t="s">
        <v>128</v>
      </c>
      <c r="D105" s="594">
        <f t="shared" si="30"/>
        <v>0</v>
      </c>
      <c r="E105" s="594">
        <f t="shared" si="30"/>
        <v>0</v>
      </c>
      <c r="F105" s="594">
        <f t="shared" si="30"/>
        <v>0</v>
      </c>
      <c r="G105" s="594">
        <f t="shared" si="30"/>
        <v>0</v>
      </c>
      <c r="H105" s="594">
        <f t="shared" si="30"/>
        <v>0</v>
      </c>
      <c r="I105" s="594">
        <f t="shared" si="30"/>
        <v>0</v>
      </c>
      <c r="J105" s="594">
        <f t="shared" si="30"/>
        <v>0</v>
      </c>
      <c r="K105" s="594">
        <f t="shared" si="30"/>
        <v>0</v>
      </c>
      <c r="L105" s="594">
        <f>SUM(D105:INDEX(D105:K105,0,MATCH('RFPR cover'!$C$7,$D$6:$K$6,0)))</f>
        <v>0</v>
      </c>
      <c r="M105" s="595">
        <f t="shared" si="31"/>
        <v>0</v>
      </c>
      <c r="N105" s="63"/>
      <c r="O105"/>
      <c r="P105"/>
      <c r="Q105"/>
      <c r="R105"/>
      <c r="S105"/>
      <c r="T105"/>
    </row>
    <row r="106" spans="1:20">
      <c r="A106" s="35"/>
      <c r="B106" s="785" t="s">
        <v>189</v>
      </c>
      <c r="C106" s="155" t="s">
        <v>128</v>
      </c>
      <c r="D106" s="102">
        <f>SUM(D100:D105)</f>
        <v>-9.1800471284458212</v>
      </c>
      <c r="E106" s="103">
        <f t="shared" ref="E106:K106" si="32">SUM(E100:E105)</f>
        <v>-8.6612777501133387</v>
      </c>
      <c r="F106" s="103">
        <f t="shared" si="32"/>
        <v>18.280875136805832</v>
      </c>
      <c r="G106" s="103">
        <f t="shared" si="32"/>
        <v>52.118371663797646</v>
      </c>
      <c r="H106" s="103">
        <f t="shared" si="32"/>
        <v>-1.5442305098600184</v>
      </c>
      <c r="I106" s="103">
        <f t="shared" si="32"/>
        <v>-31.379380811280274</v>
      </c>
      <c r="J106" s="103">
        <f t="shared" si="32"/>
        <v>-27.274392731855183</v>
      </c>
      <c r="K106" s="104">
        <f t="shared" si="32"/>
        <v>6.1992644185277106</v>
      </c>
      <c r="L106" s="102">
        <f>SUM(D106:INDEX(D106:K106,0,MATCH('RFPR cover'!$C$7,$D$6:$K$6,0)))</f>
        <v>19.634310600904019</v>
      </c>
      <c r="M106" s="104">
        <f t="shared" si="31"/>
        <v>-1.4408177124234536</v>
      </c>
      <c r="N106" s="63"/>
    </row>
    <row r="107" spans="1:20">
      <c r="A107" s="35"/>
      <c r="B107" s="777"/>
    </row>
    <row r="108" spans="1:20">
      <c r="A108" s="35"/>
      <c r="B108" s="784" t="s">
        <v>197</v>
      </c>
      <c r="C108" s="155" t="s">
        <v>128</v>
      </c>
      <c r="D108" s="95">
        <f t="shared" ref="D108:K108" si="33">D106*D94</f>
        <v>-4.2687219147273066</v>
      </c>
      <c r="E108" s="96">
        <f t="shared" si="33"/>
        <v>-4.027494153802702</v>
      </c>
      <c r="F108" s="96">
        <f t="shared" si="33"/>
        <v>8.5006069386147107</v>
      </c>
      <c r="G108" s="96">
        <f t="shared" si="33"/>
        <v>24.235042823665903</v>
      </c>
      <c r="H108" s="96">
        <f t="shared" si="33"/>
        <v>-0.71806718708490846</v>
      </c>
      <c r="I108" s="96">
        <f t="shared" si="33"/>
        <v>-14.591412077245327</v>
      </c>
      <c r="J108" s="96">
        <f t="shared" si="33"/>
        <v>-12.68259262031266</v>
      </c>
      <c r="K108" s="96">
        <f t="shared" si="33"/>
        <v>2.8826579546153854</v>
      </c>
      <c r="L108" s="95">
        <f>SUM(D108:INDEX(D108:K108,0,MATCH('RFPR cover'!$C$7,$D$6:$K$6,0)))</f>
        <v>9.1299544294203727</v>
      </c>
      <c r="M108" s="97">
        <f>SUM(D108:K108)</f>
        <v>-0.6699802362769014</v>
      </c>
    </row>
    <row r="109" spans="1:20">
      <c r="A109" s="35"/>
      <c r="B109" s="784" t="s">
        <v>307</v>
      </c>
      <c r="C109" s="155" t="s">
        <v>128</v>
      </c>
      <c r="D109" s="92">
        <f t="shared" ref="D109:K109" si="34">D106*(1-D94)</f>
        <v>-4.9113252137185146</v>
      </c>
      <c r="E109" s="93">
        <f t="shared" si="34"/>
        <v>-4.6337835963106366</v>
      </c>
      <c r="F109" s="93">
        <f t="shared" si="34"/>
        <v>9.7802681981911217</v>
      </c>
      <c r="G109" s="93">
        <f t="shared" si="34"/>
        <v>27.883328840131743</v>
      </c>
      <c r="H109" s="93">
        <f t="shared" si="34"/>
        <v>-0.82616332277510995</v>
      </c>
      <c r="I109" s="93">
        <f t="shared" si="34"/>
        <v>-16.787968734034948</v>
      </c>
      <c r="J109" s="93">
        <f t="shared" si="34"/>
        <v>-14.591800111542524</v>
      </c>
      <c r="K109" s="93">
        <f t="shared" si="34"/>
        <v>3.3166064639123252</v>
      </c>
      <c r="L109" s="92">
        <f>SUM(D109:INDEX(D109:K109,0,MATCH('RFPR cover'!$C$7,$D$6:$K$6,0)))</f>
        <v>10.504356171483657</v>
      </c>
      <c r="M109" s="94">
        <f>SUM(D109:K109)</f>
        <v>-0.77083747614654152</v>
      </c>
    </row>
    <row r="110" spans="1:20">
      <c r="A110" s="35"/>
      <c r="B110" s="777"/>
    </row>
    <row r="111" spans="1:20">
      <c r="A111" s="35"/>
      <c r="B111" s="785" t="s">
        <v>180</v>
      </c>
    </row>
    <row r="112" spans="1:20">
      <c r="A112" s="35"/>
      <c r="B112" s="777" t="s">
        <v>179</v>
      </c>
      <c r="C112" s="155" t="s">
        <v>128</v>
      </c>
      <c r="D112" s="95">
        <f>D96+D108</f>
        <v>0.58763463992802123</v>
      </c>
      <c r="E112" s="96">
        <f t="shared" ref="E112:K112" si="35">E96+E108</f>
        <v>0.34648604011617756</v>
      </c>
      <c r="F112" s="96">
        <f t="shared" si="35"/>
        <v>0.37405915693419267</v>
      </c>
      <c r="G112" s="96">
        <f t="shared" si="35"/>
        <v>0.6114517311032408</v>
      </c>
      <c r="H112" s="96">
        <f t="shared" si="35"/>
        <v>-13.282776516571147</v>
      </c>
      <c r="I112" s="96">
        <f t="shared" si="35"/>
        <v>-13.426884079635128</v>
      </c>
      <c r="J112" s="96">
        <f t="shared" si="35"/>
        <v>-13.799146990749449</v>
      </c>
      <c r="K112" s="96">
        <f t="shared" si="35"/>
        <v>-14.310119122226691</v>
      </c>
      <c r="L112" s="95">
        <f>SUM(D112:INDEX(D112:K112,0,MATCH('RFPR cover'!$C$7,$D$6:$K$6,0)))</f>
        <v>-24.790029028124643</v>
      </c>
      <c r="M112" s="97">
        <f>SUM(D112:K112)</f>
        <v>-52.899295141100779</v>
      </c>
    </row>
    <row r="113" spans="1:20">
      <c r="A113" s="35"/>
      <c r="B113" s="777" t="s">
        <v>278</v>
      </c>
      <c r="C113" s="155" t="s">
        <v>128</v>
      </c>
      <c r="D113" s="522">
        <f>D97+D109</f>
        <v>0.67609576851933717</v>
      </c>
      <c r="E113" s="523">
        <f t="shared" ref="E113:K113" si="36">E97+E109</f>
        <v>0.39864522895087084</v>
      </c>
      <c r="F113" s="523">
        <f t="shared" si="36"/>
        <v>0.43036913754794348</v>
      </c>
      <c r="G113" s="523">
        <f t="shared" si="36"/>
        <v>0.70349822825857089</v>
      </c>
      <c r="H113" s="523">
        <f t="shared" si="36"/>
        <v>-15.2823342717539</v>
      </c>
      <c r="I113" s="523">
        <f t="shared" si="36"/>
        <v>-15.448135446461924</v>
      </c>
      <c r="J113" s="523">
        <f t="shared" si="36"/>
        <v>-15.876437935593454</v>
      </c>
      <c r="K113" s="523">
        <f t="shared" si="36"/>
        <v>-16.464330602992003</v>
      </c>
      <c r="L113" s="522">
        <f>SUM(D113:INDEX(D113:K113,0,MATCH('RFPR cover'!$C$7,$D$6:$K$6,0)))</f>
        <v>-28.521861354939102</v>
      </c>
      <c r="M113" s="524">
        <f>SUM(D113:K113)</f>
        <v>-60.862629893524556</v>
      </c>
    </row>
    <row r="114" spans="1:20">
      <c r="A114" s="35"/>
      <c r="B114" s="785" t="s">
        <v>11</v>
      </c>
      <c r="C114" s="156" t="s">
        <v>128</v>
      </c>
      <c r="D114" s="145">
        <f>SUM(D112:D113)</f>
        <v>1.2637304084473584</v>
      </c>
      <c r="E114" s="146">
        <f t="shared" ref="E114:K114" si="37">SUM(E112:E113)</f>
        <v>0.74513126906704841</v>
      </c>
      <c r="F114" s="146">
        <f t="shared" si="37"/>
        <v>0.80442829448213615</v>
      </c>
      <c r="G114" s="146">
        <f t="shared" si="37"/>
        <v>1.3149499593618117</v>
      </c>
      <c r="H114" s="146">
        <f t="shared" si="37"/>
        <v>-28.565110788325047</v>
      </c>
      <c r="I114" s="146">
        <f t="shared" si="37"/>
        <v>-28.875019526097052</v>
      </c>
      <c r="J114" s="146">
        <f t="shared" si="37"/>
        <v>-29.675584926342903</v>
      </c>
      <c r="K114" s="146">
        <f t="shared" si="37"/>
        <v>-30.774449725218695</v>
      </c>
      <c r="L114" s="145">
        <f>SUM(D114:INDEX(D114:K114,0,MATCH('RFPR cover'!$C$7,$D$6:$K$6,0)))</f>
        <v>-53.311890383063741</v>
      </c>
      <c r="M114" s="147">
        <f>SUM(D114:K114)</f>
        <v>-113.76192503462534</v>
      </c>
    </row>
    <row r="115" spans="1:20">
      <c r="A115" s="35"/>
      <c r="B115" s="777"/>
    </row>
    <row r="116" spans="1:20">
      <c r="A116" s="35"/>
      <c r="B116" s="780" t="str">
        <f>B38</f>
        <v>n/a</v>
      </c>
      <c r="C116" s="150"/>
      <c r="D116" s="82"/>
      <c r="E116" s="82"/>
      <c r="F116" s="82"/>
      <c r="G116" s="82"/>
      <c r="H116" s="82"/>
      <c r="I116" s="82"/>
      <c r="J116" s="82"/>
      <c r="K116" s="82"/>
      <c r="L116" s="82"/>
      <c r="M116" s="82"/>
      <c r="N116" s="82"/>
    </row>
    <row r="117" spans="1:20" s="35" customFormat="1">
      <c r="B117" s="778"/>
      <c r="C117" s="138"/>
      <c r="D117" s="320"/>
      <c r="E117" s="320"/>
      <c r="F117" s="320"/>
      <c r="G117" s="320"/>
      <c r="H117" s="320"/>
      <c r="I117" s="320"/>
      <c r="J117" s="320"/>
      <c r="K117" s="320"/>
      <c r="L117" s="320"/>
      <c r="M117" s="320"/>
      <c r="N117" s="320"/>
    </row>
    <row r="118" spans="1:20">
      <c r="A118" s="35"/>
      <c r="B118" s="305" t="s">
        <v>34</v>
      </c>
      <c r="C118" s="155" t="s">
        <v>128</v>
      </c>
      <c r="D118" s="673">
        <f t="shared" ref="D118:K119" si="38">D40*D$86</f>
        <v>0</v>
      </c>
      <c r="E118" s="673">
        <f t="shared" si="38"/>
        <v>0</v>
      </c>
      <c r="F118" s="673">
        <f t="shared" si="38"/>
        <v>0</v>
      </c>
      <c r="G118" s="673">
        <f t="shared" si="38"/>
        <v>0</v>
      </c>
      <c r="H118" s="673">
        <f t="shared" si="38"/>
        <v>0</v>
      </c>
      <c r="I118" s="673">
        <f t="shared" si="38"/>
        <v>0</v>
      </c>
      <c r="J118" s="673">
        <f t="shared" si="38"/>
        <v>0</v>
      </c>
      <c r="K118" s="673">
        <f t="shared" si="38"/>
        <v>0</v>
      </c>
      <c r="L118" s="673">
        <f>SUM(D118:INDEX(D118:K118,0,MATCH('RFPR cover'!$C$7,$D$6:$K$6,0)))</f>
        <v>0</v>
      </c>
      <c r="M118" s="674">
        <f>SUM(D118:K118)</f>
        <v>0</v>
      </c>
      <c r="N118" s="63"/>
      <c r="O118" s="63"/>
    </row>
    <row r="119" spans="1:20" ht="25.5">
      <c r="A119" s="35"/>
      <c r="B119" s="782" t="s">
        <v>196</v>
      </c>
      <c r="C119" s="155" t="s">
        <v>128</v>
      </c>
      <c r="D119" s="673">
        <f t="shared" si="38"/>
        <v>0</v>
      </c>
      <c r="E119" s="673">
        <f t="shared" si="38"/>
        <v>0</v>
      </c>
      <c r="F119" s="673">
        <f t="shared" si="38"/>
        <v>0</v>
      </c>
      <c r="G119" s="673">
        <f t="shared" si="38"/>
        <v>0</v>
      </c>
      <c r="H119" s="673">
        <f t="shared" si="38"/>
        <v>0</v>
      </c>
      <c r="I119" s="673">
        <f t="shared" si="38"/>
        <v>0</v>
      </c>
      <c r="J119" s="673">
        <f t="shared" si="38"/>
        <v>0</v>
      </c>
      <c r="K119" s="673">
        <f t="shared" si="38"/>
        <v>0</v>
      </c>
      <c r="L119" s="675">
        <f>SUM(D119:INDEX(D119:K119,0,MATCH('RFPR cover'!$C$7,$D$6:$K$6,0)))</f>
        <v>0</v>
      </c>
      <c r="M119" s="676">
        <f>SUM(D119:K119)</f>
        <v>0</v>
      </c>
      <c r="N119" s="63"/>
      <c r="O119" s="63"/>
    </row>
    <row r="120" spans="1:20">
      <c r="A120" s="35"/>
      <c r="B120" s="783" t="s">
        <v>194</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996"/>
      <c r="P120" s="996"/>
      <c r="Q120" s="996"/>
      <c r="R120"/>
      <c r="S120"/>
      <c r="T120"/>
    </row>
    <row r="121" spans="1:20">
      <c r="A121" s="35"/>
      <c r="B121" s="783"/>
      <c r="C121" s="155"/>
      <c r="D121" s="59"/>
      <c r="E121" s="59"/>
      <c r="F121" s="59"/>
      <c r="G121" s="59"/>
      <c r="H121" s="59"/>
      <c r="I121" s="59"/>
      <c r="J121" s="59"/>
      <c r="K121" s="59"/>
      <c r="L121" s="59"/>
      <c r="M121" s="59"/>
      <c r="O121" s="64"/>
      <c r="P121" s="64"/>
      <c r="Q121" s="64"/>
      <c r="R121"/>
      <c r="S121"/>
      <c r="T121"/>
    </row>
    <row r="122" spans="1:20">
      <c r="A122" s="35"/>
      <c r="B122" s="777" t="s">
        <v>177</v>
      </c>
      <c r="C122" s="136" t="s">
        <v>7</v>
      </c>
      <c r="D122" s="109">
        <f>1-INDEX(Data!$D$73:$D$100,MATCH('RFPR cover'!$C$5,Data!$B$73:$B$100,0),0)</f>
        <v>0.46499999999999997</v>
      </c>
      <c r="E122" s="110">
        <f>1-INDEX(Data!$D$73:$D$100,MATCH('RFPR cover'!$C$5,Data!$B$73:$B$100,0),0)</f>
        <v>0.46499999999999997</v>
      </c>
      <c r="F122" s="110">
        <f>1-INDEX(Data!$D$73:$D$100,MATCH('RFPR cover'!$C$5,Data!$B$73:$B$100,0),0)</f>
        <v>0.46499999999999997</v>
      </c>
      <c r="G122" s="110">
        <f>1-INDEX(Data!$D$73:$D$100,MATCH('RFPR cover'!$C$5,Data!$B$73:$B$100,0),0)</f>
        <v>0.46499999999999997</v>
      </c>
      <c r="H122" s="110">
        <f>1-INDEX(Data!$D$73:$D$100,MATCH('RFPR cover'!$C$5,Data!$B$73:$B$100,0),0)</f>
        <v>0.46499999999999997</v>
      </c>
      <c r="I122" s="110">
        <f>1-INDEX(Data!$D$73:$D$100,MATCH('RFPR cover'!$C$5,Data!$B$73:$B$100,0),0)</f>
        <v>0.46499999999999997</v>
      </c>
      <c r="J122" s="110">
        <f>1-INDEX(Data!$D$73:$D$100,MATCH('RFPR cover'!$C$5,Data!$B$73:$B$100,0),0)</f>
        <v>0.46499999999999997</v>
      </c>
      <c r="K122" s="111">
        <f>1-INDEX(Data!$D$73:$D$100,MATCH('RFPR cover'!$C$5,Data!$B$73:$B$100,0),0)</f>
        <v>0.46499999999999997</v>
      </c>
      <c r="L122" s="62"/>
      <c r="M122" s="62"/>
      <c r="O122"/>
      <c r="P122"/>
      <c r="Q122"/>
      <c r="R122"/>
      <c r="S122"/>
      <c r="T122"/>
    </row>
    <row r="123" spans="1:20">
      <c r="A123" s="35"/>
      <c r="B123" s="777"/>
      <c r="O123"/>
      <c r="P123"/>
      <c r="Q123"/>
      <c r="R123"/>
      <c r="S123"/>
      <c r="T123"/>
    </row>
    <row r="124" spans="1:20">
      <c r="A124" s="35"/>
      <c r="B124" s="784" t="s">
        <v>182</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84" t="s">
        <v>178</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7"/>
      <c r="O126"/>
      <c r="P126"/>
      <c r="Q126"/>
      <c r="R126"/>
      <c r="S126"/>
      <c r="T126"/>
    </row>
    <row r="127" spans="1:20">
      <c r="A127" s="35"/>
      <c r="B127" s="785" t="s">
        <v>181</v>
      </c>
      <c r="N127" s="63"/>
      <c r="O127"/>
      <c r="P127"/>
      <c r="Q127"/>
      <c r="R127"/>
      <c r="S127"/>
      <c r="T127"/>
    </row>
    <row r="128" spans="1:20">
      <c r="A128" s="269" t="s">
        <v>151</v>
      </c>
      <c r="B128" s="225" t="str">
        <f t="shared" ref="B128:B133" si="42">B50</f>
        <v>[Enduring Value adjustment]</v>
      </c>
      <c r="C128" s="155" t="s">
        <v>128</v>
      </c>
      <c r="D128" s="586">
        <f t="shared" ref="D128:K133" si="43">D50*D$86</f>
        <v>0</v>
      </c>
      <c r="E128" s="586">
        <f t="shared" si="43"/>
        <v>0</v>
      </c>
      <c r="F128" s="586">
        <f t="shared" si="43"/>
        <v>0</v>
      </c>
      <c r="G128" s="586">
        <f t="shared" si="43"/>
        <v>0</v>
      </c>
      <c r="H128" s="586">
        <f t="shared" si="43"/>
        <v>0</v>
      </c>
      <c r="I128" s="586">
        <f t="shared" si="43"/>
        <v>0</v>
      </c>
      <c r="J128" s="586">
        <f t="shared" si="43"/>
        <v>0</v>
      </c>
      <c r="K128" s="586">
        <f t="shared" si="43"/>
        <v>0</v>
      </c>
      <c r="L128" s="586">
        <f>SUM(D128:INDEX(D128:K128,0,MATCH('RFPR cover'!$C$7,$D$6:$K$6,0)))</f>
        <v>0</v>
      </c>
      <c r="M128" s="587">
        <f t="shared" ref="M128:M134" si="44">SUM(D128:K128)</f>
        <v>0</v>
      </c>
      <c r="N128" s="63"/>
      <c r="O128"/>
      <c r="P128"/>
      <c r="Q128"/>
      <c r="R128"/>
      <c r="S128"/>
      <c r="T128"/>
    </row>
    <row r="129" spans="1:20">
      <c r="A129" s="269" t="s">
        <v>152</v>
      </c>
      <c r="B129" s="225" t="str">
        <f t="shared" si="42"/>
        <v>[Enduring Value adjustment]</v>
      </c>
      <c r="C129" s="155" t="s">
        <v>128</v>
      </c>
      <c r="D129" s="586">
        <f t="shared" si="43"/>
        <v>0</v>
      </c>
      <c r="E129" s="586">
        <f t="shared" si="43"/>
        <v>0</v>
      </c>
      <c r="F129" s="586">
        <f t="shared" si="43"/>
        <v>0</v>
      </c>
      <c r="G129" s="586">
        <f t="shared" si="43"/>
        <v>0</v>
      </c>
      <c r="H129" s="586">
        <f t="shared" si="43"/>
        <v>0</v>
      </c>
      <c r="I129" s="586">
        <f t="shared" si="43"/>
        <v>0</v>
      </c>
      <c r="J129" s="586">
        <f t="shared" si="43"/>
        <v>0</v>
      </c>
      <c r="K129" s="586">
        <f t="shared" si="43"/>
        <v>0</v>
      </c>
      <c r="L129" s="590">
        <f>SUM(D129:INDEX(D129:K129,0,MATCH('RFPR cover'!$C$7,$D$6:$K$6,0)))</f>
        <v>0</v>
      </c>
      <c r="M129" s="591">
        <f t="shared" si="44"/>
        <v>0</v>
      </c>
      <c r="N129" s="63"/>
      <c r="O129"/>
      <c r="P129"/>
      <c r="Q129"/>
      <c r="R129"/>
      <c r="S129"/>
      <c r="T129"/>
    </row>
    <row r="130" spans="1:20">
      <c r="A130" s="269" t="s">
        <v>153</v>
      </c>
      <c r="B130" s="225" t="str">
        <f t="shared" si="42"/>
        <v>[Enduring Value adjustment]</v>
      </c>
      <c r="C130" s="155" t="s">
        <v>128</v>
      </c>
      <c r="D130" s="586">
        <f t="shared" si="43"/>
        <v>0</v>
      </c>
      <c r="E130" s="586">
        <f t="shared" si="43"/>
        <v>0</v>
      </c>
      <c r="F130" s="586">
        <f t="shared" si="43"/>
        <v>0</v>
      </c>
      <c r="G130" s="586">
        <f t="shared" si="43"/>
        <v>0</v>
      </c>
      <c r="H130" s="586">
        <f t="shared" si="43"/>
        <v>0</v>
      </c>
      <c r="I130" s="586">
        <f t="shared" si="43"/>
        <v>0</v>
      </c>
      <c r="J130" s="586">
        <f t="shared" si="43"/>
        <v>0</v>
      </c>
      <c r="K130" s="586">
        <f t="shared" si="43"/>
        <v>0</v>
      </c>
      <c r="L130" s="590">
        <f>SUM(D130:INDEX(D130:K130,0,MATCH('RFPR cover'!$C$7,$D$6:$K$6,0)))</f>
        <v>0</v>
      </c>
      <c r="M130" s="591">
        <f t="shared" si="44"/>
        <v>0</v>
      </c>
      <c r="N130" s="63"/>
      <c r="O130"/>
      <c r="P130"/>
      <c r="Q130"/>
      <c r="R130"/>
      <c r="S130" s="65"/>
      <c r="T130"/>
    </row>
    <row r="131" spans="1:20">
      <c r="A131" s="269" t="s">
        <v>167</v>
      </c>
      <c r="B131" s="225" t="str">
        <f t="shared" si="42"/>
        <v>[Enduring Value adjustment]</v>
      </c>
      <c r="C131" s="155" t="s">
        <v>128</v>
      </c>
      <c r="D131" s="586">
        <f t="shared" si="43"/>
        <v>0</v>
      </c>
      <c r="E131" s="586">
        <f t="shared" si="43"/>
        <v>0</v>
      </c>
      <c r="F131" s="586">
        <f t="shared" si="43"/>
        <v>0</v>
      </c>
      <c r="G131" s="586">
        <f t="shared" si="43"/>
        <v>0</v>
      </c>
      <c r="H131" s="586">
        <f t="shared" si="43"/>
        <v>0</v>
      </c>
      <c r="I131" s="586">
        <f t="shared" si="43"/>
        <v>0</v>
      </c>
      <c r="J131" s="586">
        <f t="shared" si="43"/>
        <v>0</v>
      </c>
      <c r="K131" s="586">
        <f t="shared" si="43"/>
        <v>0</v>
      </c>
      <c r="L131" s="590">
        <f>SUM(D131:INDEX(D131:K131,0,MATCH('RFPR cover'!$C$7,$D$6:$K$6,0)))</f>
        <v>0</v>
      </c>
      <c r="M131" s="591">
        <f t="shared" si="44"/>
        <v>0</v>
      </c>
      <c r="N131" s="63"/>
      <c r="O131"/>
      <c r="P131"/>
      <c r="Q131"/>
      <c r="R131"/>
      <c r="S131"/>
      <c r="T131"/>
    </row>
    <row r="132" spans="1:20">
      <c r="A132" s="269" t="s">
        <v>168</v>
      </c>
      <c r="B132" s="225" t="str">
        <f t="shared" si="42"/>
        <v>[Enduring Value adjustment]</v>
      </c>
      <c r="C132" s="155" t="s">
        <v>128</v>
      </c>
      <c r="D132" s="586">
        <f t="shared" si="43"/>
        <v>0</v>
      </c>
      <c r="E132" s="586">
        <f t="shared" si="43"/>
        <v>0</v>
      </c>
      <c r="F132" s="586">
        <f t="shared" si="43"/>
        <v>0</v>
      </c>
      <c r="G132" s="586">
        <f t="shared" si="43"/>
        <v>0</v>
      </c>
      <c r="H132" s="586">
        <f t="shared" si="43"/>
        <v>0</v>
      </c>
      <c r="I132" s="586">
        <f t="shared" si="43"/>
        <v>0</v>
      </c>
      <c r="J132" s="586">
        <f t="shared" si="43"/>
        <v>0</v>
      </c>
      <c r="K132" s="586">
        <f t="shared" si="43"/>
        <v>0</v>
      </c>
      <c r="L132" s="590">
        <f>SUM(D132:INDEX(D132:K132,0,MATCH('RFPR cover'!$C$7,$D$6:$K$6,0)))</f>
        <v>0</v>
      </c>
      <c r="M132" s="591">
        <f t="shared" si="44"/>
        <v>0</v>
      </c>
      <c r="N132" s="63"/>
      <c r="O132"/>
      <c r="P132"/>
      <c r="Q132"/>
      <c r="R132"/>
      <c r="S132"/>
      <c r="T132"/>
    </row>
    <row r="133" spans="1:20">
      <c r="A133" s="269" t="s">
        <v>169</v>
      </c>
      <c r="B133" s="225" t="str">
        <f t="shared" si="42"/>
        <v>[Enduring Value adjustment]</v>
      </c>
      <c r="C133" s="155" t="s">
        <v>128</v>
      </c>
      <c r="D133" s="586">
        <f t="shared" si="43"/>
        <v>0</v>
      </c>
      <c r="E133" s="586">
        <f t="shared" si="43"/>
        <v>0</v>
      </c>
      <c r="F133" s="586">
        <f t="shared" si="43"/>
        <v>0</v>
      </c>
      <c r="G133" s="586">
        <f t="shared" si="43"/>
        <v>0</v>
      </c>
      <c r="H133" s="586">
        <f t="shared" si="43"/>
        <v>0</v>
      </c>
      <c r="I133" s="586">
        <f t="shared" si="43"/>
        <v>0</v>
      </c>
      <c r="J133" s="586">
        <f t="shared" si="43"/>
        <v>0</v>
      </c>
      <c r="K133" s="586">
        <f t="shared" si="43"/>
        <v>0</v>
      </c>
      <c r="L133" s="594">
        <f>SUM(D133:INDEX(D133:K133,0,MATCH('RFPR cover'!$C$7,$D$6:$K$6,0)))</f>
        <v>0</v>
      </c>
      <c r="M133" s="595">
        <f t="shared" si="44"/>
        <v>0</v>
      </c>
      <c r="N133" s="63"/>
      <c r="O133"/>
      <c r="P133"/>
      <c r="Q133"/>
      <c r="R133"/>
      <c r="S133"/>
      <c r="T133"/>
    </row>
    <row r="134" spans="1:20">
      <c r="A134" s="35"/>
      <c r="B134" s="785" t="s">
        <v>189</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77"/>
    </row>
    <row r="136" spans="1:20">
      <c r="A136" s="35"/>
      <c r="B136" s="784" t="s">
        <v>197</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84" t="s">
        <v>307</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7"/>
    </row>
    <row r="139" spans="1:20">
      <c r="A139" s="35"/>
      <c r="B139" s="785" t="s">
        <v>180</v>
      </c>
    </row>
    <row r="140" spans="1:20">
      <c r="A140" s="35"/>
      <c r="B140" s="777" t="s">
        <v>179</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7" t="s">
        <v>278</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85"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85"/>
      <c r="C143" s="156"/>
      <c r="D143" s="156"/>
      <c r="E143" s="156"/>
      <c r="F143" s="156"/>
      <c r="G143" s="156"/>
      <c r="H143" s="156"/>
      <c r="I143" s="156"/>
      <c r="J143" s="156"/>
      <c r="K143" s="156"/>
      <c r="L143" s="156"/>
      <c r="M143" s="156"/>
    </row>
    <row r="144" spans="1:20">
      <c r="A144" s="35"/>
      <c r="B144" s="780" t="s">
        <v>255</v>
      </c>
      <c r="C144" s="150"/>
      <c r="D144" s="82"/>
      <c r="E144" s="82"/>
      <c r="F144" s="82"/>
      <c r="G144" s="82"/>
      <c r="H144" s="82"/>
      <c r="I144" s="82"/>
      <c r="J144" s="82"/>
      <c r="K144" s="82"/>
      <c r="L144" s="82"/>
      <c r="M144" s="82"/>
      <c r="N144" s="82"/>
    </row>
    <row r="145" spans="1:20">
      <c r="A145" s="35"/>
      <c r="B145" s="777"/>
      <c r="O145"/>
      <c r="P145"/>
      <c r="Q145"/>
      <c r="R145"/>
      <c r="S145"/>
      <c r="T145"/>
    </row>
    <row r="146" spans="1:20">
      <c r="A146" s="35"/>
      <c r="B146" s="785" t="s">
        <v>180</v>
      </c>
    </row>
    <row r="147" spans="1:20">
      <c r="A147" s="35"/>
      <c r="B147" s="777" t="s">
        <v>179</v>
      </c>
      <c r="C147" s="155" t="s">
        <v>128</v>
      </c>
      <c r="D147" s="95">
        <f>D112+D140</f>
        <v>0.58763463992802123</v>
      </c>
      <c r="E147" s="96">
        <f t="shared" ref="E147:K147" si="51">E112+E140</f>
        <v>0.34648604011617756</v>
      </c>
      <c r="F147" s="96">
        <f t="shared" si="51"/>
        <v>0.37405915693419267</v>
      </c>
      <c r="G147" s="96">
        <f t="shared" si="51"/>
        <v>0.6114517311032408</v>
      </c>
      <c r="H147" s="96">
        <f t="shared" si="51"/>
        <v>-13.282776516571147</v>
      </c>
      <c r="I147" s="96">
        <f t="shared" si="51"/>
        <v>-13.426884079635128</v>
      </c>
      <c r="J147" s="96">
        <f t="shared" si="51"/>
        <v>-13.799146990749449</v>
      </c>
      <c r="K147" s="96">
        <f t="shared" si="51"/>
        <v>-14.310119122226691</v>
      </c>
      <c r="L147" s="95">
        <f>SUM(D147:INDEX(D147:K147,0,MATCH('RFPR cover'!$C$7,$D$6:$K$6,0)))</f>
        <v>-24.790029028124643</v>
      </c>
      <c r="M147" s="97">
        <f>SUM(D147:K147)</f>
        <v>-52.899295141100779</v>
      </c>
    </row>
    <row r="148" spans="1:20">
      <c r="A148" s="35"/>
      <c r="B148" s="777" t="s">
        <v>278</v>
      </c>
      <c r="C148" s="155" t="s">
        <v>128</v>
      </c>
      <c r="D148" s="98">
        <f t="shared" ref="D148:K148" si="52">D113+D141</f>
        <v>0.67609576851933717</v>
      </c>
      <c r="E148" s="99">
        <f t="shared" si="52"/>
        <v>0.39864522895087084</v>
      </c>
      <c r="F148" s="99">
        <f t="shared" si="52"/>
        <v>0.43036913754794348</v>
      </c>
      <c r="G148" s="99">
        <f t="shared" si="52"/>
        <v>0.70349822825857089</v>
      </c>
      <c r="H148" s="99">
        <f t="shared" si="52"/>
        <v>-15.2823342717539</v>
      </c>
      <c r="I148" s="99">
        <f t="shared" si="52"/>
        <v>-15.448135446461924</v>
      </c>
      <c r="J148" s="99">
        <f t="shared" si="52"/>
        <v>-15.876437935593454</v>
      </c>
      <c r="K148" s="99">
        <f t="shared" si="52"/>
        <v>-16.464330602992003</v>
      </c>
      <c r="L148" s="98">
        <f>SUM(D148:INDEX(D148:K148,0,MATCH('RFPR cover'!$C$7,$D$6:$K$6,0)))</f>
        <v>-28.521861354939102</v>
      </c>
      <c r="M148" s="100">
        <f>SUM(D148:K148)</f>
        <v>-60.862629893524556</v>
      </c>
    </row>
    <row r="149" spans="1:20">
      <c r="A149" s="35"/>
      <c r="B149" s="785" t="s">
        <v>11</v>
      </c>
      <c r="C149" s="156" t="s">
        <v>128</v>
      </c>
      <c r="D149" s="139">
        <f>SUM(D147:D148)</f>
        <v>1.2637304084473584</v>
      </c>
      <c r="E149" s="140">
        <f t="shared" ref="E149:K149" si="53">SUM(E147:E148)</f>
        <v>0.74513126906704841</v>
      </c>
      <c r="F149" s="140">
        <f t="shared" si="53"/>
        <v>0.80442829448213615</v>
      </c>
      <c r="G149" s="140">
        <f t="shared" si="53"/>
        <v>1.3149499593618117</v>
      </c>
      <c r="H149" s="140">
        <f t="shared" si="53"/>
        <v>-28.565110788325047</v>
      </c>
      <c r="I149" s="140">
        <f t="shared" si="53"/>
        <v>-28.875019526097052</v>
      </c>
      <c r="J149" s="140">
        <f t="shared" si="53"/>
        <v>-29.675584926342903</v>
      </c>
      <c r="K149" s="140">
        <f t="shared" si="53"/>
        <v>-30.774449725218695</v>
      </c>
      <c r="L149" s="139">
        <f>SUM(D149:INDEX(D149:K149,0,MATCH('RFPR cover'!$C$7,$D$6:$K$6,0)))</f>
        <v>-53.311890383063741</v>
      </c>
      <c r="M149" s="141">
        <f>SUM(D149:K149)</f>
        <v>-113.76192503462534</v>
      </c>
    </row>
    <row r="150" spans="1:20">
      <c r="A150" s="35"/>
      <c r="B150" s="784"/>
      <c r="D150" s="136"/>
      <c r="E150" s="136"/>
      <c r="F150" s="136"/>
      <c r="G150" s="136"/>
      <c r="H150" s="136"/>
      <c r="I150" s="136"/>
      <c r="J150" s="136"/>
      <c r="K150" s="136"/>
    </row>
    <row r="151" spans="1:20">
      <c r="A151" s="35"/>
      <c r="B151" s="777"/>
    </row>
    <row r="152" spans="1:20">
      <c r="A152" s="82"/>
      <c r="B152" s="776"/>
      <c r="C152" s="150"/>
      <c r="D152" s="82"/>
      <c r="E152" s="82"/>
      <c r="F152" s="82"/>
      <c r="G152" s="82"/>
      <c r="H152" s="82"/>
      <c r="I152" s="82"/>
      <c r="J152" s="82"/>
      <c r="K152" s="82"/>
      <c r="L152" s="82"/>
      <c r="M152" s="82"/>
      <c r="N152" s="82"/>
    </row>
    <row r="153" spans="1:20">
      <c r="B153" s="777"/>
    </row>
    <row r="154" spans="1:20">
      <c r="B154" s="777"/>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64">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7.625" bestFit="1" customWidth="1"/>
  </cols>
  <sheetData>
    <row r="1" spans="1:14" s="37" customFormat="1" ht="20.25">
      <c r="A1" s="935" t="s">
        <v>260</v>
      </c>
      <c r="B1" s="936"/>
      <c r="C1" s="153"/>
      <c r="D1" s="131"/>
      <c r="E1" s="131"/>
      <c r="F1" s="131"/>
      <c r="G1" s="131"/>
      <c r="H1" s="131"/>
      <c r="I1" s="127"/>
      <c r="J1" s="127"/>
      <c r="K1" s="127"/>
      <c r="L1" s="127"/>
      <c r="M1" s="127"/>
      <c r="N1" s="128"/>
    </row>
    <row r="2" spans="1:14" s="37" customFormat="1" ht="20.25">
      <c r="A2" s="937" t="str">
        <f>'RFPR cover'!C5</f>
        <v>SPMW</v>
      </c>
      <c r="B2" s="938"/>
      <c r="C2" s="154"/>
      <c r="D2" s="36"/>
      <c r="E2" s="36"/>
      <c r="F2" s="36"/>
      <c r="G2" s="36"/>
      <c r="H2" s="36"/>
      <c r="I2" s="27"/>
      <c r="J2" s="27"/>
      <c r="K2" s="27"/>
      <c r="L2" s="27"/>
      <c r="M2" s="27"/>
      <c r="N2" s="123"/>
    </row>
    <row r="3" spans="1:14" s="37" customFormat="1" ht="20.25">
      <c r="A3" s="939">
        <f>'RFPR cover'!C7</f>
        <v>2021</v>
      </c>
      <c r="B3" s="940"/>
      <c r="C3" s="135"/>
      <c r="D3" s="132"/>
      <c r="E3" s="132"/>
      <c r="F3" s="132"/>
      <c r="G3" s="132"/>
      <c r="H3" s="132"/>
      <c r="I3" s="28"/>
      <c r="J3" s="28"/>
      <c r="K3" s="28"/>
      <c r="L3" s="28"/>
      <c r="M3" s="28"/>
      <c r="N3" s="125"/>
    </row>
    <row r="4" spans="1:14" s="2" customFormat="1" ht="12.75" customHeight="1">
      <c r="B4" s="3"/>
      <c r="C4" s="136"/>
    </row>
    <row r="5" spans="1:14" s="2" customFormat="1" ht="12.75" customHeigh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4"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row>
    <row r="7" spans="1:14" s="2" customFormat="1">
      <c r="A7" s="35"/>
      <c r="C7" s="136"/>
    </row>
    <row r="8" spans="1:14" s="2" customFormat="1">
      <c r="A8" s="35"/>
      <c r="B8" s="116" t="s">
        <v>198</v>
      </c>
      <c r="C8" s="150"/>
      <c r="D8" s="81"/>
      <c r="E8" s="81"/>
      <c r="F8" s="81"/>
      <c r="G8" s="81"/>
      <c r="H8" s="81"/>
      <c r="I8" s="81"/>
      <c r="J8" s="81"/>
      <c r="K8" s="81"/>
      <c r="L8" s="81"/>
      <c r="M8" s="81"/>
      <c r="N8" s="81"/>
    </row>
    <row r="9" spans="1:14" s="2" customFormat="1">
      <c r="A9" s="35"/>
      <c r="B9" s="368" t="s">
        <v>376</v>
      </c>
      <c r="C9" s="368"/>
      <c r="D9" s="368"/>
      <c r="E9" s="368"/>
      <c r="F9" s="368"/>
      <c r="G9" s="368"/>
      <c r="H9" s="368"/>
      <c r="I9" s="368"/>
      <c r="J9" s="368"/>
      <c r="K9" s="368"/>
      <c r="L9" s="368"/>
      <c r="M9" s="368"/>
      <c r="N9" s="368"/>
    </row>
    <row r="10" spans="1:14" s="2" customFormat="1">
      <c r="A10" s="35"/>
      <c r="B10" s="12"/>
      <c r="C10" s="136"/>
    </row>
    <row r="11" spans="1:14" s="2" customFormat="1">
      <c r="A11" s="224" t="s">
        <v>151</v>
      </c>
      <c r="B11" s="35" t="str">
        <f>Data!B153</f>
        <v>Broad measure of customer service</v>
      </c>
      <c r="C11" s="155" t="str">
        <f>'RFPR cover'!$C$14</f>
        <v>£m 12/13</v>
      </c>
      <c r="D11" s="596">
        <v>3.0993000000000008</v>
      </c>
      <c r="E11" s="597">
        <v>3.2756699999999999</v>
      </c>
      <c r="F11" s="597">
        <v>2.8980300000000043</v>
      </c>
      <c r="G11" s="597">
        <v>4.2395250000000022</v>
      </c>
      <c r="H11" s="597">
        <v>4.3690000000000007</v>
      </c>
      <c r="I11" s="597">
        <v>3.4000000000000004</v>
      </c>
      <c r="J11" s="597">
        <v>3.4</v>
      </c>
      <c r="K11" s="597">
        <v>3.4</v>
      </c>
      <c r="L11" s="673">
        <f>SUM(D11:INDEX(D11:K11,0,MATCH('RFPR cover'!$C$7,$D$6:$K$6,0)))</f>
        <v>21.281525000000009</v>
      </c>
      <c r="M11" s="674">
        <f t="shared" ref="M11:M17" si="1">SUM(D11:K11)</f>
        <v>28.081525000000006</v>
      </c>
    </row>
    <row r="12" spans="1:14" s="2" customFormat="1">
      <c r="A12" s="224" t="s">
        <v>152</v>
      </c>
      <c r="B12" s="35" t="str">
        <f>Data!B154</f>
        <v>Interruptions-related quality of service</v>
      </c>
      <c r="C12" s="155" t="str">
        <f>'RFPR cover'!$C$14</f>
        <v>£m 12/13</v>
      </c>
      <c r="D12" s="598">
        <v>5.763081970833337</v>
      </c>
      <c r="E12" s="599">
        <v>2.568957163390496</v>
      </c>
      <c r="F12" s="599">
        <v>4.5656966049382737</v>
      </c>
      <c r="G12" s="599">
        <v>1.874747560031816</v>
      </c>
      <c r="H12" s="599">
        <v>2.2650611996722123</v>
      </c>
      <c r="I12" s="599">
        <v>1.3766814552868802</v>
      </c>
      <c r="J12" s="599">
        <v>2.2222222222222223</v>
      </c>
      <c r="K12" s="599">
        <v>1.9753086419753085</v>
      </c>
      <c r="L12" s="677">
        <f>SUM(D12:INDEX(D12:K12,0,MATCH('RFPR cover'!$C$7,$D$6:$K$6,0)))</f>
        <v>18.414225954153018</v>
      </c>
      <c r="M12" s="678">
        <f t="shared" si="1"/>
        <v>22.61175681835055</v>
      </c>
    </row>
    <row r="13" spans="1:14" s="2" customFormat="1">
      <c r="A13" s="224" t="s">
        <v>153</v>
      </c>
      <c r="B13" s="35" t="str">
        <f>Data!B155</f>
        <v>Incentive on connections engagement</v>
      </c>
      <c r="C13" s="155" t="str">
        <f>'RFPR cover'!$C$14</f>
        <v>£m 12/13</v>
      </c>
      <c r="D13" s="598">
        <v>0</v>
      </c>
      <c r="E13" s="599">
        <v>0</v>
      </c>
      <c r="F13" s="599">
        <v>0</v>
      </c>
      <c r="G13" s="599">
        <v>0</v>
      </c>
      <c r="H13" s="599">
        <v>0</v>
      </c>
      <c r="I13" s="599">
        <v>0</v>
      </c>
      <c r="J13" s="599">
        <v>0</v>
      </c>
      <c r="K13" s="599">
        <v>0</v>
      </c>
      <c r="L13" s="677">
        <f>SUM(D13:INDEX(D13:K13,0,MATCH('RFPR cover'!$C$7,$D$6:$K$6,0)))</f>
        <v>0</v>
      </c>
      <c r="M13" s="678">
        <f t="shared" si="1"/>
        <v>0</v>
      </c>
    </row>
    <row r="14" spans="1:14" s="2" customFormat="1">
      <c r="A14" s="224" t="s">
        <v>167</v>
      </c>
      <c r="B14" s="35" t="str">
        <f>Data!B156</f>
        <v>Time to Connect Incentive</v>
      </c>
      <c r="C14" s="155" t="str">
        <f>'RFPR cover'!$C$14</f>
        <v>£m 12/13</v>
      </c>
      <c r="D14" s="598">
        <v>1.0081340425531915</v>
      </c>
      <c r="E14" s="599">
        <v>0.6</v>
      </c>
      <c r="F14" s="599">
        <v>0.6</v>
      </c>
      <c r="G14" s="599">
        <v>0.6</v>
      </c>
      <c r="H14" s="599">
        <v>0.10343532424503871</v>
      </c>
      <c r="I14" s="599">
        <v>9.1035999999999895E-2</v>
      </c>
      <c r="J14" s="599">
        <v>0.6</v>
      </c>
      <c r="K14" s="599">
        <v>0.6</v>
      </c>
      <c r="L14" s="677">
        <f>SUM(D14:INDEX(D14:K14,0,MATCH('RFPR cover'!$C$7,$D$6:$K$6,0)))</f>
        <v>3.00260536679823</v>
      </c>
      <c r="M14" s="678">
        <f t="shared" si="1"/>
        <v>4.2026053667982302</v>
      </c>
    </row>
    <row r="15" spans="1:14" s="2" customFormat="1">
      <c r="A15" s="224" t="s">
        <v>168</v>
      </c>
      <c r="B15" s="35" t="str">
        <f>Data!B157</f>
        <v>Losses discretionary reward scheme</v>
      </c>
      <c r="C15" s="155" t="str">
        <f>'RFPR cover'!$C$14</f>
        <v>£m 12/13</v>
      </c>
      <c r="D15" s="598">
        <v>0</v>
      </c>
      <c r="E15" s="599">
        <v>0.38500000000000001</v>
      </c>
      <c r="F15" s="599">
        <v>0</v>
      </c>
      <c r="G15" s="599">
        <v>0</v>
      </c>
      <c r="H15" s="599">
        <v>0</v>
      </c>
      <c r="I15" s="599">
        <v>0</v>
      </c>
      <c r="J15" s="599">
        <v>0</v>
      </c>
      <c r="K15" s="599">
        <v>0</v>
      </c>
      <c r="L15" s="677">
        <f>SUM(D15:INDEX(D15:K15,0,MATCH('RFPR cover'!$C$7,$D$6:$K$6,0)))</f>
        <v>0.38500000000000001</v>
      </c>
      <c r="M15" s="678">
        <f t="shared" si="1"/>
        <v>0.38500000000000001</v>
      </c>
    </row>
    <row r="16" spans="1:14" s="2" customFormat="1">
      <c r="A16" s="224" t="s">
        <v>169</v>
      </c>
      <c r="B16" s="35" t="str">
        <f>Data!B158</f>
        <v/>
      </c>
      <c r="C16" s="155" t="str">
        <f>'RFPR cover'!$C$14</f>
        <v>£m 12/13</v>
      </c>
      <c r="D16" s="598">
        <v>0</v>
      </c>
      <c r="E16" s="599">
        <v>0</v>
      </c>
      <c r="F16" s="599">
        <v>0</v>
      </c>
      <c r="G16" s="599">
        <v>0</v>
      </c>
      <c r="H16" s="599">
        <v>0</v>
      </c>
      <c r="I16" s="599">
        <v>0</v>
      </c>
      <c r="J16" s="599">
        <v>0</v>
      </c>
      <c r="K16" s="599">
        <v>0</v>
      </c>
      <c r="L16" s="677">
        <f>SUM(D16:INDEX(D16:K16,0,MATCH('RFPR cover'!$C$7,$D$6:$K$6,0)))</f>
        <v>0</v>
      </c>
      <c r="M16" s="678">
        <f t="shared" si="1"/>
        <v>0</v>
      </c>
    </row>
    <row r="17" spans="1:16" s="2" customFormat="1">
      <c r="A17" s="224" t="s">
        <v>464</v>
      </c>
      <c r="B17" s="35" t="str">
        <f>Data!B159</f>
        <v/>
      </c>
      <c r="C17" s="155" t="str">
        <f>'RFPR cover'!$C$14</f>
        <v>£m 12/13</v>
      </c>
      <c r="D17" s="852">
        <v>0</v>
      </c>
      <c r="E17" s="853">
        <v>0</v>
      </c>
      <c r="F17" s="853">
        <v>0</v>
      </c>
      <c r="G17" s="853">
        <v>0</v>
      </c>
      <c r="H17" s="853">
        <v>0</v>
      </c>
      <c r="I17" s="853">
        <v>0</v>
      </c>
      <c r="J17" s="853">
        <v>0</v>
      </c>
      <c r="K17" s="854">
        <v>0</v>
      </c>
      <c r="L17" s="677">
        <f>SUM(D17:INDEX(D17:K17,0,MATCH('RFPR cover'!$C$7,$D$6:$K$6,0)))</f>
        <v>0</v>
      </c>
      <c r="M17" s="678">
        <f t="shared" si="1"/>
        <v>0</v>
      </c>
    </row>
    <row r="18" spans="1:16" s="2" customFormat="1">
      <c r="A18" s="35"/>
      <c r="B18" s="12" t="s">
        <v>202</v>
      </c>
      <c r="C18" s="156" t="str">
        <f>'RFPR cover'!$C$14</f>
        <v>£m 12/13</v>
      </c>
      <c r="D18" s="612">
        <f>SUM(D11:D17)</f>
        <v>9.8705160133865295</v>
      </c>
      <c r="E18" s="612">
        <f t="shared" ref="E18:K18" si="2">SUM(E11:E17)</f>
        <v>6.8296271633904952</v>
      </c>
      <c r="F18" s="612">
        <f t="shared" si="2"/>
        <v>8.0637266049382781</v>
      </c>
      <c r="G18" s="612">
        <f t="shared" si="2"/>
        <v>6.7142725600318176</v>
      </c>
      <c r="H18" s="612">
        <f t="shared" si="2"/>
        <v>6.737496523917252</v>
      </c>
      <c r="I18" s="612">
        <f t="shared" si="2"/>
        <v>4.86771745528688</v>
      </c>
      <c r="J18" s="612">
        <f t="shared" si="2"/>
        <v>6.2222222222222214</v>
      </c>
      <c r="K18" s="612">
        <f t="shared" si="2"/>
        <v>5.9753086419753085</v>
      </c>
      <c r="L18" s="612">
        <f>SUM(L11:L17)</f>
        <v>43.083356320951253</v>
      </c>
      <c r="M18" s="612">
        <f>SUM(M11:M17)</f>
        <v>55.280887185148785</v>
      </c>
      <c r="N18" s="952"/>
    </row>
    <row r="19" spans="1:16" s="2" customFormat="1">
      <c r="A19" s="35"/>
      <c r="B19" s="12"/>
      <c r="C19" s="156"/>
      <c r="D19" s="156"/>
      <c r="E19" s="156"/>
      <c r="F19" s="156"/>
      <c r="G19" s="156"/>
      <c r="H19" s="156"/>
      <c r="I19" s="156"/>
      <c r="J19" s="156"/>
      <c r="K19" s="156"/>
      <c r="L19" s="156"/>
      <c r="M19" s="156"/>
    </row>
    <row r="20" spans="1:16" s="2" customFormat="1">
      <c r="A20" s="35"/>
      <c r="B20" s="12" t="s">
        <v>358</v>
      </c>
      <c r="C20" s="156"/>
      <c r="D20" s="156"/>
      <c r="E20" s="156"/>
      <c r="F20" s="156"/>
      <c r="G20" s="156"/>
      <c r="H20" s="156"/>
      <c r="I20" s="156"/>
      <c r="J20" s="156"/>
      <c r="K20" s="156"/>
      <c r="L20" s="156"/>
      <c r="M20" s="156"/>
    </row>
    <row r="21" spans="1:16" s="2" customFormat="1">
      <c r="A21" s="269" t="str">
        <f>A11</f>
        <v>a</v>
      </c>
      <c r="B21" s="1004" t="s">
        <v>589</v>
      </c>
      <c r="C21" s="1004"/>
      <c r="D21" s="1004"/>
      <c r="E21" s="1004"/>
      <c r="F21" s="1004"/>
      <c r="G21" s="1004"/>
      <c r="H21" s="1004"/>
      <c r="I21" s="1004"/>
      <c r="J21" s="1004"/>
      <c r="K21" s="1004"/>
      <c r="L21" s="1004"/>
      <c r="M21" s="1004"/>
    </row>
    <row r="22" spans="1:16" s="2" customFormat="1">
      <c r="A22" s="269" t="str">
        <f>A12</f>
        <v>b</v>
      </c>
      <c r="B22" s="1004" t="s">
        <v>240</v>
      </c>
      <c r="C22" s="1004"/>
      <c r="D22" s="1004"/>
      <c r="E22" s="1004"/>
      <c r="F22" s="1004"/>
      <c r="G22" s="1004"/>
      <c r="H22" s="1004"/>
      <c r="I22" s="1004"/>
      <c r="J22" s="1004"/>
      <c r="K22" s="1004"/>
      <c r="L22" s="1004"/>
      <c r="M22" s="1004"/>
    </row>
    <row r="23" spans="1:16" s="2" customFormat="1">
      <c r="A23" s="269" t="str">
        <f>A13</f>
        <v>c</v>
      </c>
      <c r="B23" s="1004" t="s">
        <v>590</v>
      </c>
      <c r="C23" s="1004"/>
      <c r="D23" s="1004"/>
      <c r="E23" s="1004"/>
      <c r="F23" s="1004"/>
      <c r="G23" s="1004"/>
      <c r="H23" s="1004"/>
      <c r="I23" s="1004"/>
      <c r="J23" s="1004"/>
      <c r="K23" s="1004"/>
      <c r="L23" s="1004"/>
      <c r="M23" s="1004"/>
    </row>
    <row r="24" spans="1:16" s="2" customFormat="1">
      <c r="A24" s="269" t="str">
        <f>A14</f>
        <v>d</v>
      </c>
      <c r="B24" s="1004" t="s">
        <v>240</v>
      </c>
      <c r="C24" s="1004"/>
      <c r="D24" s="1004"/>
      <c r="E24" s="1004"/>
      <c r="F24" s="1004"/>
      <c r="G24" s="1004"/>
      <c r="H24" s="1004"/>
      <c r="I24" s="1004"/>
      <c r="J24" s="1004"/>
      <c r="K24" s="1004"/>
      <c r="L24" s="1004"/>
      <c r="M24" s="1004"/>
    </row>
    <row r="25" spans="1:16" s="2" customFormat="1">
      <c r="A25" s="269" t="str">
        <f>A15</f>
        <v>e</v>
      </c>
      <c r="B25" s="1004" t="s">
        <v>591</v>
      </c>
      <c r="C25" s="1004"/>
      <c r="D25" s="1004"/>
      <c r="E25" s="1004"/>
      <c r="F25" s="1004"/>
      <c r="G25" s="1004"/>
      <c r="H25" s="1004"/>
      <c r="I25" s="1004"/>
      <c r="J25" s="1004"/>
      <c r="K25" s="1004"/>
      <c r="L25" s="1004"/>
      <c r="M25" s="1004"/>
    </row>
    <row r="26" spans="1:16" s="2" customFormat="1">
      <c r="A26" s="269" t="s">
        <v>169</v>
      </c>
      <c r="B26" s="998" t="s">
        <v>240</v>
      </c>
      <c r="C26" s="998"/>
      <c r="D26" s="998"/>
      <c r="E26" s="998"/>
      <c r="F26" s="998"/>
      <c r="G26" s="998"/>
      <c r="H26" s="998"/>
      <c r="I26" s="998"/>
      <c r="J26" s="998"/>
      <c r="K26" s="998"/>
      <c r="L26" s="998"/>
      <c r="M26" s="998"/>
    </row>
    <row r="27" spans="1:16" s="2" customFormat="1">
      <c r="A27" s="269" t="s">
        <v>464</v>
      </c>
      <c r="B27" s="998" t="s">
        <v>240</v>
      </c>
      <c r="C27" s="998"/>
      <c r="D27" s="998"/>
      <c r="E27" s="998"/>
      <c r="F27" s="998"/>
      <c r="G27" s="998"/>
      <c r="H27" s="998"/>
      <c r="I27" s="998"/>
      <c r="J27" s="998"/>
      <c r="K27" s="998"/>
      <c r="L27" s="998"/>
      <c r="M27" s="998"/>
    </row>
    <row r="28" spans="1:16" s="535" customFormat="1">
      <c r="A28" s="38"/>
      <c r="B28" s="539"/>
      <c r="C28" s="539"/>
      <c r="D28" s="539"/>
      <c r="E28" s="539"/>
      <c r="F28" s="539"/>
      <c r="G28" s="539"/>
      <c r="H28" s="539"/>
      <c r="I28" s="539"/>
      <c r="J28" s="539"/>
      <c r="K28" s="539"/>
      <c r="L28" s="539"/>
      <c r="M28" s="539"/>
    </row>
    <row r="29" spans="1:16" s="2" customFormat="1">
      <c r="B29" s="12"/>
      <c r="C29" s="136"/>
      <c r="D29" s="52"/>
      <c r="E29" s="52"/>
      <c r="F29" s="52"/>
      <c r="G29" s="52"/>
      <c r="H29" s="52"/>
      <c r="I29" s="52"/>
      <c r="J29" s="52"/>
      <c r="K29" s="52"/>
    </row>
    <row r="30" spans="1:16" s="2" customFormat="1">
      <c r="A30" s="35"/>
      <c r="B30" s="116" t="s">
        <v>199</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210</v>
      </c>
      <c r="C32" s="291"/>
      <c r="D32" s="293"/>
      <c r="E32" s="293"/>
      <c r="F32" s="293"/>
      <c r="G32" s="293"/>
      <c r="H32" s="293"/>
      <c r="I32" s="293"/>
      <c r="J32" s="293"/>
      <c r="K32" s="293"/>
      <c r="L32" s="293"/>
      <c r="M32" s="293"/>
      <c r="N32" s="293"/>
    </row>
    <row r="33" spans="1:14" s="2" customFormat="1">
      <c r="A33" s="35"/>
      <c r="B33" s="369" t="s">
        <v>240</v>
      </c>
      <c r="C33" s="291"/>
      <c r="D33" s="293"/>
      <c r="E33" s="293"/>
      <c r="F33" s="293"/>
      <c r="G33" s="293"/>
      <c r="H33" s="293"/>
      <c r="I33" s="293"/>
      <c r="J33" s="293"/>
      <c r="K33" s="293"/>
      <c r="L33" s="293"/>
      <c r="M33" s="293"/>
      <c r="N33" s="293"/>
    </row>
    <row r="34" spans="1:14" s="2" customFormat="1">
      <c r="A34" s="35"/>
      <c r="B34" s="369" t="s">
        <v>465</v>
      </c>
      <c r="C34" s="291"/>
      <c r="D34" s="293"/>
      <c r="E34" s="293"/>
      <c r="F34" s="293"/>
      <c r="G34" s="293"/>
      <c r="H34" s="293"/>
      <c r="I34" s="293"/>
      <c r="J34" s="293"/>
      <c r="K34" s="293"/>
      <c r="L34" s="293"/>
      <c r="M34" s="293"/>
      <c r="N34" s="293"/>
    </row>
    <row r="35" spans="1:14" s="2" customFormat="1">
      <c r="A35" s="35"/>
      <c r="B35" s="369" t="s">
        <v>208</v>
      </c>
      <c r="C35" s="291"/>
      <c r="D35" s="293"/>
      <c r="E35" s="293"/>
      <c r="F35" s="293"/>
      <c r="G35" s="293"/>
      <c r="H35" s="293"/>
      <c r="I35" s="293"/>
      <c r="J35" s="293"/>
      <c r="K35" s="293"/>
      <c r="L35" s="293"/>
      <c r="M35" s="293"/>
      <c r="N35" s="293"/>
    </row>
    <row r="36" spans="1:14" s="2" customFormat="1">
      <c r="A36" s="35"/>
      <c r="B36" s="369" t="s">
        <v>201</v>
      </c>
      <c r="C36" s="291"/>
      <c r="D36" s="293"/>
      <c r="E36" s="293"/>
      <c r="F36" s="293"/>
      <c r="G36" s="293"/>
      <c r="H36" s="293"/>
      <c r="I36" s="293"/>
      <c r="J36" s="293"/>
      <c r="K36" s="293"/>
      <c r="L36" s="293"/>
      <c r="M36" s="293"/>
      <c r="N36" s="293"/>
    </row>
    <row r="37" spans="1:14" s="2" customFormat="1">
      <c r="A37" s="35"/>
      <c r="B37" s="369" t="s">
        <v>207</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3">
        <f>D51</f>
        <v>2.5104330000000008</v>
      </c>
      <c r="E39" s="673">
        <f t="shared" ref="E39:K39" si="4">E51</f>
        <v>2.6532927000000002</v>
      </c>
      <c r="F39" s="673">
        <f t="shared" si="4"/>
        <v>2.3474043000000036</v>
      </c>
      <c r="G39" s="673">
        <f t="shared" si="4"/>
        <v>3.4340152500000021</v>
      </c>
      <c r="H39" s="673">
        <f t="shared" si="4"/>
        <v>3.5388900000000008</v>
      </c>
      <c r="I39" s="673">
        <f t="shared" si="4"/>
        <v>2.7540000000000004</v>
      </c>
      <c r="J39" s="673">
        <f t="shared" si="4"/>
        <v>2.754</v>
      </c>
      <c r="K39" s="673">
        <f t="shared" si="4"/>
        <v>2.5499999999999998</v>
      </c>
      <c r="L39" s="673">
        <f>SUM(D39:INDEX(D39:K39,0,MATCH('RFPR cover'!$C$7,$D$6:$K$6,0)))</f>
        <v>17.238035250000006</v>
      </c>
      <c r="M39" s="674">
        <f t="shared" ref="M39:M45" si="5">SUM(D39:K39)</f>
        <v>22.542035250000009</v>
      </c>
    </row>
    <row r="40" spans="1:14" s="2" customFormat="1">
      <c r="A40" s="160" t="str">
        <f t="shared" si="3"/>
        <v>b</v>
      </c>
      <c r="B40" s="35" t="str">
        <f>$B$12&amp;""</f>
        <v>Interruptions-related quality of service</v>
      </c>
      <c r="C40" s="155" t="str">
        <f>'RFPR cover'!$C$14</f>
        <v>£m 12/13</v>
      </c>
      <c r="D40" s="673">
        <f>D55</f>
        <v>4.6680963963750033</v>
      </c>
      <c r="E40" s="673">
        <f t="shared" ref="E40:K40" si="6">E55</f>
        <v>2.0808553023463019</v>
      </c>
      <c r="F40" s="673">
        <f t="shared" si="6"/>
        <v>3.6982142500000017</v>
      </c>
      <c r="G40" s="673">
        <f t="shared" si="6"/>
        <v>1.518545523625771</v>
      </c>
      <c r="H40" s="673">
        <f t="shared" si="6"/>
        <v>1.8346995717344921</v>
      </c>
      <c r="I40" s="673">
        <f t="shared" si="6"/>
        <v>1.1151119787823731</v>
      </c>
      <c r="J40" s="673">
        <f t="shared" si="6"/>
        <v>1.8000000000000003</v>
      </c>
      <c r="K40" s="673">
        <f t="shared" si="6"/>
        <v>1.4814814814814814</v>
      </c>
      <c r="L40" s="677">
        <f>SUM(D40:INDEX(D40:K40,0,MATCH('RFPR cover'!$C$7,$D$6:$K$6,0)))</f>
        <v>14.915523022863942</v>
      </c>
      <c r="M40" s="678">
        <f t="shared" si="5"/>
        <v>18.197004504345422</v>
      </c>
    </row>
    <row r="41" spans="1:14" s="2" customFormat="1">
      <c r="A41" s="160" t="str">
        <f t="shared" si="3"/>
        <v>c</v>
      </c>
      <c r="B41" s="35" t="str">
        <f>$B$13&amp;""</f>
        <v>Incentive on connections engagement</v>
      </c>
      <c r="C41" s="155" t="str">
        <f>'RFPR cover'!$C$14</f>
        <v>£m 12/13</v>
      </c>
      <c r="D41" s="673">
        <f>D59</f>
        <v>0</v>
      </c>
      <c r="E41" s="673">
        <f t="shared" ref="E41:K41" si="7">E59</f>
        <v>0</v>
      </c>
      <c r="F41" s="673">
        <f t="shared" si="7"/>
        <v>0</v>
      </c>
      <c r="G41" s="673">
        <f t="shared" si="7"/>
        <v>0</v>
      </c>
      <c r="H41" s="673">
        <f t="shared" si="7"/>
        <v>0</v>
      </c>
      <c r="I41" s="673">
        <f t="shared" si="7"/>
        <v>0</v>
      </c>
      <c r="J41" s="673">
        <f t="shared" si="7"/>
        <v>0</v>
      </c>
      <c r="K41" s="673">
        <f t="shared" si="7"/>
        <v>0</v>
      </c>
      <c r="L41" s="677">
        <f>SUM(D41:INDEX(D41:K41,0,MATCH('RFPR cover'!$C$7,$D$6:$K$6,0)))</f>
        <v>0</v>
      </c>
      <c r="M41" s="678">
        <f t="shared" si="5"/>
        <v>0</v>
      </c>
    </row>
    <row r="42" spans="1:14" s="2" customFormat="1">
      <c r="A42" s="160" t="str">
        <f t="shared" si="3"/>
        <v>d</v>
      </c>
      <c r="B42" s="35" t="str">
        <f>$B$14&amp;""</f>
        <v>Time to Connect Incentive</v>
      </c>
      <c r="C42" s="155" t="str">
        <f>'RFPR cover'!$C$14</f>
        <v>£m 12/13</v>
      </c>
      <c r="D42" s="673">
        <f>D63</f>
        <v>0.81658857446808519</v>
      </c>
      <c r="E42" s="673">
        <f t="shared" ref="E42:K42" si="8">E63</f>
        <v>0.48599999999999999</v>
      </c>
      <c r="F42" s="673">
        <f t="shared" si="8"/>
        <v>0.48599999999999999</v>
      </c>
      <c r="G42" s="673">
        <f t="shared" si="8"/>
        <v>0.48599999999999999</v>
      </c>
      <c r="H42" s="673">
        <f t="shared" si="8"/>
        <v>8.3782612638481357E-2</v>
      </c>
      <c r="I42" s="673">
        <f t="shared" si="8"/>
        <v>7.3739159999999915E-2</v>
      </c>
      <c r="J42" s="673">
        <f t="shared" si="8"/>
        <v>0.48599999999999999</v>
      </c>
      <c r="K42" s="673">
        <f t="shared" si="8"/>
        <v>0.44999999999999996</v>
      </c>
      <c r="L42" s="677">
        <f>SUM(D42:INDEX(D42:K42,0,MATCH('RFPR cover'!$C$7,$D$6:$K$6,0)))</f>
        <v>2.4321103471065664</v>
      </c>
      <c r="M42" s="678">
        <f t="shared" si="5"/>
        <v>3.3681103471065663</v>
      </c>
    </row>
    <row r="43" spans="1:14" s="2" customFormat="1">
      <c r="A43" s="160" t="str">
        <f t="shared" si="3"/>
        <v>e</v>
      </c>
      <c r="B43" s="35" t="str">
        <f>$B$15&amp;""</f>
        <v>Losses discretionary reward scheme</v>
      </c>
      <c r="C43" s="155" t="str">
        <f>'RFPR cover'!$C$14</f>
        <v>£m 12/13</v>
      </c>
      <c r="D43" s="673">
        <f>D67</f>
        <v>0</v>
      </c>
      <c r="E43" s="673">
        <f t="shared" ref="E43:K43" si="9">E67</f>
        <v>0.31185000000000002</v>
      </c>
      <c r="F43" s="673">
        <f t="shared" si="9"/>
        <v>0</v>
      </c>
      <c r="G43" s="673">
        <f t="shared" si="9"/>
        <v>0</v>
      </c>
      <c r="H43" s="673">
        <f t="shared" si="9"/>
        <v>0</v>
      </c>
      <c r="I43" s="673">
        <f t="shared" si="9"/>
        <v>0</v>
      </c>
      <c r="J43" s="673">
        <f t="shared" si="9"/>
        <v>0</v>
      </c>
      <c r="K43" s="673">
        <f t="shared" si="9"/>
        <v>0</v>
      </c>
      <c r="L43" s="677">
        <f>SUM(D43:INDEX(D43:K43,0,MATCH('RFPR cover'!$C$7,$D$6:$K$6,0)))</f>
        <v>0.31185000000000002</v>
      </c>
      <c r="M43" s="678">
        <f t="shared" si="5"/>
        <v>0.31185000000000002</v>
      </c>
    </row>
    <row r="44" spans="1:14" s="2" customFormat="1">
      <c r="A44" s="160" t="str">
        <f t="shared" si="3"/>
        <v>f</v>
      </c>
      <c r="B44" s="35" t="str">
        <f>$B$16&amp;""</f>
        <v/>
      </c>
      <c r="C44" s="155" t="str">
        <f>'RFPR cover'!$C$14</f>
        <v>£m 12/13</v>
      </c>
      <c r="D44" s="673">
        <f>D71</f>
        <v>0</v>
      </c>
      <c r="E44" s="673">
        <f t="shared" ref="E44:K44" si="10">E71</f>
        <v>0</v>
      </c>
      <c r="F44" s="673">
        <f t="shared" si="10"/>
        <v>0</v>
      </c>
      <c r="G44" s="673">
        <f t="shared" si="10"/>
        <v>0</v>
      </c>
      <c r="H44" s="673">
        <f t="shared" si="10"/>
        <v>0</v>
      </c>
      <c r="I44" s="673">
        <f t="shared" si="10"/>
        <v>0</v>
      </c>
      <c r="J44" s="673">
        <f t="shared" si="10"/>
        <v>0</v>
      </c>
      <c r="K44" s="673">
        <f t="shared" si="10"/>
        <v>0</v>
      </c>
      <c r="L44" s="677">
        <f>SUM(D44:INDEX(D44:K44,0,MATCH('RFPR cover'!$C$7,$D$6:$K$6,0)))</f>
        <v>0</v>
      </c>
      <c r="M44" s="678">
        <f t="shared" si="5"/>
        <v>0</v>
      </c>
    </row>
    <row r="45" spans="1:14" s="2" customFormat="1">
      <c r="A45" s="160" t="str">
        <f t="shared" si="3"/>
        <v>g</v>
      </c>
      <c r="B45" s="35" t="str">
        <f>$B$17&amp;""</f>
        <v/>
      </c>
      <c r="C45" s="155" t="str">
        <f>'RFPR cover'!$C$14</f>
        <v>£m 12/13</v>
      </c>
      <c r="D45" s="673">
        <f>D75</f>
        <v>0</v>
      </c>
      <c r="E45" s="673">
        <f t="shared" ref="E45:K45" si="11">E75</f>
        <v>0</v>
      </c>
      <c r="F45" s="673">
        <f t="shared" si="11"/>
        <v>0</v>
      </c>
      <c r="G45" s="673">
        <f t="shared" si="11"/>
        <v>0</v>
      </c>
      <c r="H45" s="673">
        <f t="shared" si="11"/>
        <v>0</v>
      </c>
      <c r="I45" s="673">
        <f t="shared" si="11"/>
        <v>0</v>
      </c>
      <c r="J45" s="673">
        <f t="shared" si="11"/>
        <v>0</v>
      </c>
      <c r="K45" s="673">
        <f t="shared" si="11"/>
        <v>0</v>
      </c>
      <c r="L45" s="677">
        <f>SUM(D45:INDEX(D45:K45,0,MATCH('RFPR cover'!$C$7,$D$6:$K$6,0)))</f>
        <v>0</v>
      </c>
      <c r="M45" s="678">
        <f t="shared" si="5"/>
        <v>0</v>
      </c>
    </row>
    <row r="46" spans="1:14" s="2" customFormat="1">
      <c r="B46" s="12" t="s">
        <v>203</v>
      </c>
      <c r="C46" s="156" t="str">
        <f>'RFPR cover'!$C$14</f>
        <v>£m 12/13</v>
      </c>
      <c r="D46" s="612">
        <f>SUM(D39:D45)</f>
        <v>7.9951179708430891</v>
      </c>
      <c r="E46" s="612">
        <f t="shared" ref="E46:M46" si="12">SUM(E39:E45)</f>
        <v>5.5319980023463016</v>
      </c>
      <c r="F46" s="612">
        <f t="shared" si="12"/>
        <v>6.5316185500000055</v>
      </c>
      <c r="G46" s="612">
        <f t="shared" si="12"/>
        <v>5.4385607736257731</v>
      </c>
      <c r="H46" s="613">
        <f t="shared" si="12"/>
        <v>5.4573721843729741</v>
      </c>
      <c r="I46" s="613">
        <f t="shared" si="12"/>
        <v>3.9428511387823733</v>
      </c>
      <c r="J46" s="613">
        <f t="shared" si="12"/>
        <v>5.04</v>
      </c>
      <c r="K46" s="613">
        <f t="shared" si="12"/>
        <v>4.4814814814814818</v>
      </c>
      <c r="L46" s="612">
        <f t="shared" si="12"/>
        <v>34.897518619970512</v>
      </c>
      <c r="M46" s="612">
        <f t="shared" si="12"/>
        <v>44.419000101451992</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86">
        <f>INDEX($D$11:$K$17,MATCH($A49,$A$11:$A$17,0),0)</f>
        <v>3.0993000000000008</v>
      </c>
      <c r="E49" s="786">
        <f t="shared" ref="E49:K49" si="13">INDEX($D$11:$K$17,MATCH($A49,$A$11:$A$17,0),0)</f>
        <v>3.2756699999999999</v>
      </c>
      <c r="F49" s="786">
        <f t="shared" si="13"/>
        <v>2.8980300000000043</v>
      </c>
      <c r="G49" s="786">
        <f t="shared" si="13"/>
        <v>4.2395250000000022</v>
      </c>
      <c r="H49" s="786">
        <f t="shared" si="13"/>
        <v>4.3690000000000007</v>
      </c>
      <c r="I49" s="786">
        <f t="shared" si="13"/>
        <v>3.4000000000000004</v>
      </c>
      <c r="J49" s="786">
        <f t="shared" si="13"/>
        <v>3.4</v>
      </c>
      <c r="K49" s="786">
        <f t="shared" si="13"/>
        <v>3.4</v>
      </c>
      <c r="L49" s="786">
        <f>SUM(D49:INDEX(D49:K49,0,MATCH('RFPR cover'!$C$7,$D$6:$K$6,0)))</f>
        <v>21.281525000000009</v>
      </c>
      <c r="M49" s="787">
        <f>SUM(D49:K49)</f>
        <v>28.081525000000006</v>
      </c>
    </row>
    <row r="50" spans="1:13" s="2" customFormat="1">
      <c r="A50" s="160"/>
      <c r="B50" s="35" t="s">
        <v>200</v>
      </c>
      <c r="C50" s="294" t="s">
        <v>201</v>
      </c>
      <c r="D50" s="890">
        <f>IF($C50=$B$33,$B$33,INDEX(Data!$G$14:$G$30,MATCH('R5 - Output Incentives'!D$6+RIGHT('R5 - Output Incentives'!$C50,2),Data!$C$14:$C$30,0),0))</f>
        <v>0.19</v>
      </c>
      <c r="E50" s="891">
        <f>IF($C50=$B$33,$B$33,INDEX(Data!$G$14:$G$30,MATCH('R5 - Output Incentives'!E$6+RIGHT('R5 - Output Incentives'!$C50,2),Data!$C$14:$C$30,0),0))</f>
        <v>0.19</v>
      </c>
      <c r="F50" s="891">
        <f>IF($C50=$B$33,$B$33,INDEX(Data!$G$14:$G$30,MATCH('R5 - Output Incentives'!F$6+RIGHT('R5 - Output Incentives'!$C50,2),Data!$C$14:$C$30,0),0))</f>
        <v>0.19</v>
      </c>
      <c r="G50" s="891">
        <f>IF($C50=$B$33,$B$33,INDEX(Data!$G$14:$G$30,MATCH('R5 - Output Incentives'!G$6+RIGHT('R5 - Output Incentives'!$C50,2),Data!$C$14:$C$30,0),0))</f>
        <v>0.19</v>
      </c>
      <c r="H50" s="891">
        <f>IF($C50=$B$33,$B$33,INDEX(Data!$G$14:$G$30,MATCH('R5 - Output Incentives'!H$6+RIGHT('R5 - Output Incentives'!$C50,2),Data!$C$14:$C$30,0),0))</f>
        <v>0.19</v>
      </c>
      <c r="I50" s="891">
        <f>IF($C50=$B$33,$B$33,INDEX(Data!$G$14:$G$30,MATCH('R5 - Output Incentives'!I$6+RIGHT('R5 - Output Incentives'!$C50,2),Data!$C$14:$C$30,0),0))</f>
        <v>0.19</v>
      </c>
      <c r="J50" s="891">
        <f>IF($C50=$B$33,$B$33,INDEX(Data!$G$14:$G$30,MATCH('R5 - Output Incentives'!J$6+RIGHT('R5 - Output Incentives'!$C50,2),Data!$C$14:$C$30,0),0))</f>
        <v>0.19</v>
      </c>
      <c r="K50" s="892">
        <f>IF($C50=$B$33,$B$33,INDEX(Data!$G$14:$G$30,MATCH('R5 - Output Incentives'!K$6+RIGHT('R5 - Output Incentives'!$C50,2),Data!$C$14:$C$30,0),0))</f>
        <v>0.25</v>
      </c>
      <c r="L50" s="788"/>
      <c r="M50" s="789"/>
    </row>
    <row r="51" spans="1:13" s="2" customFormat="1">
      <c r="A51" s="160"/>
      <c r="B51" s="35" t="s">
        <v>209</v>
      </c>
      <c r="C51" s="155"/>
      <c r="D51" s="612">
        <f>IFERROR(D49*(1-D50),0)</f>
        <v>2.5104330000000008</v>
      </c>
      <c r="E51" s="613">
        <f t="shared" ref="E51:K51" si="14">IFERROR(E49*(1-E50),0)</f>
        <v>2.6532927000000002</v>
      </c>
      <c r="F51" s="613">
        <f t="shared" si="14"/>
        <v>2.3474043000000036</v>
      </c>
      <c r="G51" s="613">
        <f t="shared" si="14"/>
        <v>3.4340152500000021</v>
      </c>
      <c r="H51" s="613">
        <f t="shared" si="14"/>
        <v>3.5388900000000008</v>
      </c>
      <c r="I51" s="613">
        <f t="shared" si="14"/>
        <v>2.7540000000000004</v>
      </c>
      <c r="J51" s="613">
        <f t="shared" si="14"/>
        <v>2.754</v>
      </c>
      <c r="K51" s="613">
        <f t="shared" si="14"/>
        <v>2.5499999999999998</v>
      </c>
      <c r="L51" s="671">
        <f>SUM(D51:INDEX(D51:K51,0,MATCH('RFPR cover'!$C$7,$D$6:$K$6,0)))</f>
        <v>17.238035250000006</v>
      </c>
      <c r="M51" s="672">
        <f>SUM(D51:K51)</f>
        <v>22.542035250000009</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86">
        <f>INDEX($D$11:$K$17,MATCH($A53,$A$11:$A$17,0),0)</f>
        <v>5.763081970833337</v>
      </c>
      <c r="E53" s="786">
        <f t="shared" ref="E53:K53" si="15">INDEX($D$11:$K$17,MATCH($A53,$A$11:$A$17,0),0)</f>
        <v>2.568957163390496</v>
      </c>
      <c r="F53" s="786">
        <f t="shared" si="15"/>
        <v>4.5656966049382737</v>
      </c>
      <c r="G53" s="786">
        <f t="shared" si="15"/>
        <v>1.874747560031816</v>
      </c>
      <c r="H53" s="786">
        <f t="shared" si="15"/>
        <v>2.2650611996722123</v>
      </c>
      <c r="I53" s="786">
        <f t="shared" si="15"/>
        <v>1.3766814552868802</v>
      </c>
      <c r="J53" s="786">
        <f t="shared" si="15"/>
        <v>2.2222222222222223</v>
      </c>
      <c r="K53" s="786">
        <f t="shared" si="15"/>
        <v>1.9753086419753085</v>
      </c>
      <c r="L53" s="673">
        <f>SUM(D53:INDEX(D53:K53,0,MATCH('RFPR cover'!$C$7,$D$6:$K$6,0)))</f>
        <v>18.414225954153018</v>
      </c>
      <c r="M53" s="674">
        <f>SUM(D53:K53)</f>
        <v>22.61175681835055</v>
      </c>
    </row>
    <row r="54" spans="1:13" s="2" customFormat="1">
      <c r="A54" s="160"/>
      <c r="B54" s="35" t="s">
        <v>200</v>
      </c>
      <c r="C54" s="294" t="s">
        <v>201</v>
      </c>
      <c r="D54" s="890">
        <f>IF($C54=$B$33,$B$33,INDEX(Data!$G$14:$G$30,MATCH('R5 - Output Incentives'!D$6+RIGHT('R5 - Output Incentives'!$C54,2),Data!$C$14:$C$30,0),0))</f>
        <v>0.19</v>
      </c>
      <c r="E54" s="891">
        <f>IF($C54=$B$33,$B$33,INDEX(Data!$G$14:$G$30,MATCH('R5 - Output Incentives'!E$6+RIGHT('R5 - Output Incentives'!$C54,2),Data!$C$14:$C$30,0),0))</f>
        <v>0.19</v>
      </c>
      <c r="F54" s="891">
        <f>IF($C54=$B$33,$B$33,INDEX(Data!$G$14:$G$30,MATCH('R5 - Output Incentives'!F$6+RIGHT('R5 - Output Incentives'!$C54,2),Data!$C$14:$C$30,0),0))</f>
        <v>0.19</v>
      </c>
      <c r="G54" s="891">
        <f>IF($C54=$B$33,$B$33,INDEX(Data!$G$14:$G$30,MATCH('R5 - Output Incentives'!G$6+RIGHT('R5 - Output Incentives'!$C54,2),Data!$C$14:$C$30,0),0))</f>
        <v>0.19</v>
      </c>
      <c r="H54" s="891">
        <f>IF($C54=$B$33,$B$33,INDEX(Data!$G$14:$G$30,MATCH('R5 - Output Incentives'!H$6+RIGHT('R5 - Output Incentives'!$C54,2),Data!$C$14:$C$30,0),0))</f>
        <v>0.19</v>
      </c>
      <c r="I54" s="891">
        <f>IF($C54=$B$33,$B$33,INDEX(Data!$G$14:$G$30,MATCH('R5 - Output Incentives'!I$6+RIGHT('R5 - Output Incentives'!$C54,2),Data!$C$14:$C$30,0),0))</f>
        <v>0.19</v>
      </c>
      <c r="J54" s="891">
        <f>IF($C54=$B$33,$B$33,INDEX(Data!$G$14:$G$30,MATCH('R5 - Output Incentives'!J$6+RIGHT('R5 - Output Incentives'!$C54,2),Data!$C$14:$C$30,0),0))</f>
        <v>0.19</v>
      </c>
      <c r="K54" s="892">
        <f>IF($C54=$B$33,$B$33,INDEX(Data!$G$14:$G$30,MATCH('R5 - Output Incentives'!K$6+RIGHT('R5 - Output Incentives'!$C54,2),Data!$C$14:$C$30,0),0))</f>
        <v>0.25</v>
      </c>
      <c r="L54" s="788"/>
      <c r="M54" s="789"/>
    </row>
    <row r="55" spans="1:13" s="2" customFormat="1">
      <c r="A55" s="160"/>
      <c r="B55" s="35" t="s">
        <v>209</v>
      </c>
      <c r="C55" s="155"/>
      <c r="D55" s="612">
        <f>IFERROR(D53*(1-D54),0)</f>
        <v>4.6680963963750033</v>
      </c>
      <c r="E55" s="613">
        <f t="shared" ref="E55:K55" si="16">IFERROR(E53*(1-E54),0)</f>
        <v>2.0808553023463019</v>
      </c>
      <c r="F55" s="613">
        <f t="shared" si="16"/>
        <v>3.6982142500000017</v>
      </c>
      <c r="G55" s="613">
        <f t="shared" si="16"/>
        <v>1.518545523625771</v>
      </c>
      <c r="H55" s="613">
        <f t="shared" si="16"/>
        <v>1.8346995717344921</v>
      </c>
      <c r="I55" s="613">
        <f t="shared" si="16"/>
        <v>1.1151119787823731</v>
      </c>
      <c r="J55" s="613">
        <f t="shared" si="16"/>
        <v>1.8000000000000003</v>
      </c>
      <c r="K55" s="613">
        <f t="shared" si="16"/>
        <v>1.4814814814814814</v>
      </c>
      <c r="L55" s="671">
        <f>SUM(D55:INDEX(D55:K55,0,MATCH('RFPR cover'!$C$7,$D$6:$K$6,0)))</f>
        <v>14.915523022863942</v>
      </c>
      <c r="M55" s="672">
        <f>SUM(D55:K55)</f>
        <v>18.197004504345422</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86">
        <f>INDEX($D$11:$K$17,MATCH($A57,$A$11:$A$17,0),0)</f>
        <v>0</v>
      </c>
      <c r="E57" s="786">
        <f t="shared" ref="E57:K57" si="17">INDEX($D$11:$K$17,MATCH($A57,$A$11:$A$17,0),0)</f>
        <v>0</v>
      </c>
      <c r="F57" s="786">
        <f t="shared" si="17"/>
        <v>0</v>
      </c>
      <c r="G57" s="786">
        <f t="shared" si="17"/>
        <v>0</v>
      </c>
      <c r="H57" s="786">
        <f t="shared" si="17"/>
        <v>0</v>
      </c>
      <c r="I57" s="786">
        <f t="shared" si="17"/>
        <v>0</v>
      </c>
      <c r="J57" s="786">
        <f t="shared" si="17"/>
        <v>0</v>
      </c>
      <c r="K57" s="786">
        <f t="shared" si="17"/>
        <v>0</v>
      </c>
      <c r="L57" s="673">
        <f>SUM(D57:INDEX(D57:K57,0,MATCH('RFPR cover'!$C$7,$D$6:$K$6,0)))</f>
        <v>0</v>
      </c>
      <c r="M57" s="674">
        <f>SUM(D57:K57)</f>
        <v>0</v>
      </c>
    </row>
    <row r="58" spans="1:13" s="2" customFormat="1">
      <c r="A58" s="160"/>
      <c r="B58" s="35" t="s">
        <v>200</v>
      </c>
      <c r="C58" s="294" t="s">
        <v>207</v>
      </c>
      <c r="D58" s="890">
        <f>IF($C58=$B$33,$B$33,INDEX(Data!$G$14:$G$30,MATCH('R5 - Output Incentives'!D$6+RIGHT('R5 - Output Incentives'!$C58,2),Data!$C$14:$C$30,0),0))</f>
        <v>0.19</v>
      </c>
      <c r="E58" s="891">
        <f>IF($C58=$B$33,$B$33,INDEX(Data!$G$14:$G$30,MATCH('R5 - Output Incentives'!E$6+RIGHT('R5 - Output Incentives'!$C58,2),Data!$C$14:$C$30,0),0))</f>
        <v>0.19</v>
      </c>
      <c r="F58" s="891">
        <f>IF($C58=$B$33,$B$33,INDEX(Data!$G$14:$G$30,MATCH('R5 - Output Incentives'!F$6+RIGHT('R5 - Output Incentives'!$C58,2),Data!$C$14:$C$30,0),0))</f>
        <v>0.19</v>
      </c>
      <c r="G58" s="891">
        <f>IF($C58=$B$33,$B$33,INDEX(Data!$G$14:$G$30,MATCH('R5 - Output Incentives'!G$6+RIGHT('R5 - Output Incentives'!$C58,2),Data!$C$14:$C$30,0),0))</f>
        <v>0.19</v>
      </c>
      <c r="H58" s="891">
        <f>IF($C58=$B$33,$B$33,INDEX(Data!$G$14:$G$30,MATCH('R5 - Output Incentives'!H$6+RIGHT('R5 - Output Incentives'!$C58,2),Data!$C$14:$C$30,0),0))</f>
        <v>0.19</v>
      </c>
      <c r="I58" s="891">
        <f>IF($C58=$B$33,$B$33,INDEX(Data!$G$14:$G$30,MATCH('R5 - Output Incentives'!I$6+RIGHT('R5 - Output Incentives'!$C58,2),Data!$C$14:$C$30,0),0))</f>
        <v>0.19</v>
      </c>
      <c r="J58" s="891">
        <f>IF($C58=$B$33,$B$33,INDEX(Data!$G$14:$G$30,MATCH('R5 - Output Incentives'!J$6+RIGHT('R5 - Output Incentives'!$C58,2),Data!$C$14:$C$30,0),0))</f>
        <v>0.25</v>
      </c>
      <c r="K58" s="892">
        <f>IF($C58=$B$33,$B$33,INDEX(Data!$G$14:$G$30,MATCH('R5 - Output Incentives'!K$6+RIGHT('R5 - Output Incentives'!$C58,2),Data!$C$14:$C$30,0),0))</f>
        <v>0.25</v>
      </c>
      <c r="L58" s="788"/>
      <c r="M58" s="789"/>
    </row>
    <row r="59" spans="1:13" s="2" customFormat="1">
      <c r="A59" s="160"/>
      <c r="B59" s="35" t="s">
        <v>209</v>
      </c>
      <c r="C59" s="155"/>
      <c r="D59" s="612">
        <f>IFERROR(D57*(1-D58),0)</f>
        <v>0</v>
      </c>
      <c r="E59" s="613">
        <f t="shared" ref="E59:K59" si="18">IFERROR(E57*(1-E58),0)</f>
        <v>0</v>
      </c>
      <c r="F59" s="613">
        <f t="shared" si="18"/>
        <v>0</v>
      </c>
      <c r="G59" s="613">
        <f t="shared" si="18"/>
        <v>0</v>
      </c>
      <c r="H59" s="613">
        <f t="shared" si="18"/>
        <v>0</v>
      </c>
      <c r="I59" s="613">
        <f t="shared" si="18"/>
        <v>0</v>
      </c>
      <c r="J59" s="613">
        <f t="shared" si="18"/>
        <v>0</v>
      </c>
      <c r="K59" s="613">
        <f t="shared" si="18"/>
        <v>0</v>
      </c>
      <c r="L59" s="671">
        <f>SUM(D59:INDEX(D59:K59,0,MATCH('RFPR cover'!$C$7,$D$6:$K$6,0)))</f>
        <v>0</v>
      </c>
      <c r="M59" s="672">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86">
        <f>INDEX($D$11:$K$17,MATCH($A61,$A$11:$A$17,0),0)</f>
        <v>1.0081340425531915</v>
      </c>
      <c r="E61" s="786">
        <f t="shared" ref="E61:K61" si="19">INDEX($D$11:$K$17,MATCH($A61,$A$11:$A$17,0),0)</f>
        <v>0.6</v>
      </c>
      <c r="F61" s="786">
        <f t="shared" si="19"/>
        <v>0.6</v>
      </c>
      <c r="G61" s="786">
        <f t="shared" si="19"/>
        <v>0.6</v>
      </c>
      <c r="H61" s="786">
        <f t="shared" si="19"/>
        <v>0.10343532424503871</v>
      </c>
      <c r="I61" s="786">
        <f t="shared" si="19"/>
        <v>9.1035999999999895E-2</v>
      </c>
      <c r="J61" s="786">
        <f t="shared" si="19"/>
        <v>0.6</v>
      </c>
      <c r="K61" s="786">
        <f t="shared" si="19"/>
        <v>0.6</v>
      </c>
      <c r="L61" s="673">
        <f>SUM(D61:INDEX(D61:K61,0,MATCH('RFPR cover'!$C$7,$D$6:$K$6,0)))</f>
        <v>3.00260536679823</v>
      </c>
      <c r="M61" s="674">
        <f>SUM(D61:K61)</f>
        <v>4.2026053667982302</v>
      </c>
    </row>
    <row r="62" spans="1:13" s="2" customFormat="1">
      <c r="A62" s="160"/>
      <c r="B62" s="35" t="s">
        <v>200</v>
      </c>
      <c r="C62" s="294" t="s">
        <v>201</v>
      </c>
      <c r="D62" s="890">
        <f>IF($C62=$B$33,$B$33,INDEX(Data!$G$14:$G$30,MATCH('R5 - Output Incentives'!D$6+RIGHT('R5 - Output Incentives'!$C62,2),Data!$C$14:$C$30,0),0))</f>
        <v>0.19</v>
      </c>
      <c r="E62" s="891">
        <f>IF($C62=$B$33,$B$33,INDEX(Data!$G$14:$G$30,MATCH('R5 - Output Incentives'!E$6+RIGHT('R5 - Output Incentives'!$C62,2),Data!$C$14:$C$30,0),0))</f>
        <v>0.19</v>
      </c>
      <c r="F62" s="891">
        <f>IF($C62=$B$33,$B$33,INDEX(Data!$G$14:$G$30,MATCH('R5 - Output Incentives'!F$6+RIGHT('R5 - Output Incentives'!$C62,2),Data!$C$14:$C$30,0),0))</f>
        <v>0.19</v>
      </c>
      <c r="G62" s="891">
        <f>IF($C62=$B$33,$B$33,INDEX(Data!$G$14:$G$30,MATCH('R5 - Output Incentives'!G$6+RIGHT('R5 - Output Incentives'!$C62,2),Data!$C$14:$C$30,0),0))</f>
        <v>0.19</v>
      </c>
      <c r="H62" s="891">
        <f>IF($C62=$B$33,$B$33,INDEX(Data!$G$14:$G$30,MATCH('R5 - Output Incentives'!H$6+RIGHT('R5 - Output Incentives'!$C62,2),Data!$C$14:$C$30,0),0))</f>
        <v>0.19</v>
      </c>
      <c r="I62" s="891">
        <f>IF($C62=$B$33,$B$33,INDEX(Data!$G$14:$G$30,MATCH('R5 - Output Incentives'!I$6+RIGHT('R5 - Output Incentives'!$C62,2),Data!$C$14:$C$30,0),0))</f>
        <v>0.19</v>
      </c>
      <c r="J62" s="891">
        <f>IF($C62=$B$33,$B$33,INDEX(Data!$G$14:$G$30,MATCH('R5 - Output Incentives'!J$6+RIGHT('R5 - Output Incentives'!$C62,2),Data!$C$14:$C$30,0),0))</f>
        <v>0.19</v>
      </c>
      <c r="K62" s="892">
        <f>IF($C62=$B$33,$B$33,INDEX(Data!$G$14:$G$30,MATCH('R5 - Output Incentives'!K$6+RIGHT('R5 - Output Incentives'!$C62,2),Data!$C$14:$C$30,0),0))</f>
        <v>0.25</v>
      </c>
      <c r="L62" s="788"/>
      <c r="M62" s="789"/>
    </row>
    <row r="63" spans="1:13" s="2" customFormat="1">
      <c r="A63" s="160"/>
      <c r="B63" s="35" t="s">
        <v>209</v>
      </c>
      <c r="C63" s="155"/>
      <c r="D63" s="612">
        <f>IFERROR(D61*(1-D62),0)</f>
        <v>0.81658857446808519</v>
      </c>
      <c r="E63" s="613">
        <f t="shared" ref="E63:K63" si="20">IFERROR(E61*(1-E62),0)</f>
        <v>0.48599999999999999</v>
      </c>
      <c r="F63" s="613">
        <f t="shared" si="20"/>
        <v>0.48599999999999999</v>
      </c>
      <c r="G63" s="613">
        <f t="shared" si="20"/>
        <v>0.48599999999999999</v>
      </c>
      <c r="H63" s="613">
        <f t="shared" si="20"/>
        <v>8.3782612638481357E-2</v>
      </c>
      <c r="I63" s="613">
        <f t="shared" si="20"/>
        <v>7.3739159999999915E-2</v>
      </c>
      <c r="J63" s="613">
        <f t="shared" si="20"/>
        <v>0.48599999999999999</v>
      </c>
      <c r="K63" s="613">
        <f t="shared" si="20"/>
        <v>0.44999999999999996</v>
      </c>
      <c r="L63" s="671">
        <f>SUM(D63:INDEX(D63:K63,0,MATCH('RFPR cover'!$C$7,$D$6:$K$6,0)))</f>
        <v>2.4321103471065664</v>
      </c>
      <c r="M63" s="672">
        <f>SUM(D63:K63)</f>
        <v>3.3681103471065663</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86">
        <f>INDEX($D$11:$K$17,MATCH($A65,$A$11:$A$17,0),0)</f>
        <v>0</v>
      </c>
      <c r="E65" s="786">
        <f t="shared" ref="E65:K65" si="21">INDEX($D$11:$K$17,MATCH($A65,$A$11:$A$17,0),0)</f>
        <v>0.38500000000000001</v>
      </c>
      <c r="F65" s="786">
        <f t="shared" si="21"/>
        <v>0</v>
      </c>
      <c r="G65" s="786">
        <f t="shared" si="21"/>
        <v>0</v>
      </c>
      <c r="H65" s="786">
        <f t="shared" si="21"/>
        <v>0</v>
      </c>
      <c r="I65" s="786">
        <f t="shared" si="21"/>
        <v>0</v>
      </c>
      <c r="J65" s="786">
        <f t="shared" si="21"/>
        <v>0</v>
      </c>
      <c r="K65" s="786">
        <f t="shared" si="21"/>
        <v>0</v>
      </c>
      <c r="L65" s="673">
        <f>SUM(D65:INDEX(D65:K65,0,MATCH('RFPR cover'!$C$7,$D$6:$K$6,0)))</f>
        <v>0.38500000000000001</v>
      </c>
      <c r="M65" s="674">
        <f>SUM(D65:K65)</f>
        <v>0.38500000000000001</v>
      </c>
    </row>
    <row r="66" spans="1:14" s="2" customFormat="1">
      <c r="A66" s="160"/>
      <c r="B66" s="35" t="s">
        <v>200</v>
      </c>
      <c r="C66" s="294" t="s">
        <v>208</v>
      </c>
      <c r="D66" s="890">
        <f>IF($C66=$B$33,$B$33,INDEX(Data!$G$14:$G$30,MATCH('R5 - Output Incentives'!D$6+RIGHT('R5 - Output Incentives'!$C66,2),Data!$C$14:$C$30,0),0))</f>
        <v>0.2</v>
      </c>
      <c r="E66" s="891">
        <f>IF($C66=$B$33,$B$33,INDEX(Data!$G$14:$G$30,MATCH('R5 - Output Incentives'!E$6+RIGHT('R5 - Output Incentives'!$C66,2),Data!$C$14:$C$30,0),0))</f>
        <v>0.19</v>
      </c>
      <c r="F66" s="891">
        <f>IF($C66=$B$33,$B$33,INDEX(Data!$G$14:$G$30,MATCH('R5 - Output Incentives'!F$6+RIGHT('R5 - Output Incentives'!$C66,2),Data!$C$14:$C$30,0),0))</f>
        <v>0.19</v>
      </c>
      <c r="G66" s="891">
        <f>IF($C66=$B$33,$B$33,INDEX(Data!$G$14:$G$30,MATCH('R5 - Output Incentives'!G$6+RIGHT('R5 - Output Incentives'!$C66,2),Data!$C$14:$C$30,0),0))</f>
        <v>0.19</v>
      </c>
      <c r="H66" s="891">
        <f>IF($C66=$B$33,$B$33,INDEX(Data!$G$14:$G$30,MATCH('R5 - Output Incentives'!H$6+RIGHT('R5 - Output Incentives'!$C66,2),Data!$C$14:$C$30,0),0))</f>
        <v>0.19</v>
      </c>
      <c r="I66" s="891">
        <f>IF($C66=$B$33,$B$33,INDEX(Data!$G$14:$G$30,MATCH('R5 - Output Incentives'!I$6+RIGHT('R5 - Output Incentives'!$C66,2),Data!$C$14:$C$30,0),0))</f>
        <v>0.19</v>
      </c>
      <c r="J66" s="891">
        <f>IF($C66=$B$33,$B$33,INDEX(Data!$G$14:$G$30,MATCH('R5 - Output Incentives'!J$6+RIGHT('R5 - Output Incentives'!$C66,2),Data!$C$14:$C$30,0),0))</f>
        <v>0.19</v>
      </c>
      <c r="K66" s="892">
        <f>IF($C66=$B$33,$B$33,INDEX(Data!$G$14:$G$30,MATCH('R5 - Output Incentives'!K$6+RIGHT('R5 - Output Incentives'!$C66,2),Data!$C$14:$C$30,0),0))</f>
        <v>0.19</v>
      </c>
      <c r="L66" s="788"/>
      <c r="M66" s="789"/>
    </row>
    <row r="67" spans="1:14" s="2" customFormat="1">
      <c r="A67" s="160"/>
      <c r="B67" s="35" t="s">
        <v>209</v>
      </c>
      <c r="C67" s="155"/>
      <c r="D67" s="612">
        <f>IFERROR(D65*(1-D66),0)</f>
        <v>0</v>
      </c>
      <c r="E67" s="613">
        <f t="shared" ref="E67:K67" si="22">IFERROR(E65*(1-E66),0)</f>
        <v>0.31185000000000002</v>
      </c>
      <c r="F67" s="613">
        <f t="shared" si="22"/>
        <v>0</v>
      </c>
      <c r="G67" s="613">
        <f t="shared" si="22"/>
        <v>0</v>
      </c>
      <c r="H67" s="613">
        <f t="shared" si="22"/>
        <v>0</v>
      </c>
      <c r="I67" s="613">
        <f t="shared" si="22"/>
        <v>0</v>
      </c>
      <c r="J67" s="613">
        <f t="shared" si="22"/>
        <v>0</v>
      </c>
      <c r="K67" s="613">
        <f t="shared" si="22"/>
        <v>0</v>
      </c>
      <c r="L67" s="671">
        <f>SUM(D67:INDEX(D67:K67,0,MATCH('RFPR cover'!$C$7,$D$6:$K$6,0)))</f>
        <v>0.31185000000000002</v>
      </c>
      <c r="M67" s="672">
        <f>SUM(D67:K67)</f>
        <v>0.31185000000000002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86">
        <f>INDEX($D$11:$K$17,MATCH($A69,$A$11:$A$17,0),0)</f>
        <v>0</v>
      </c>
      <c r="E69" s="786">
        <f t="shared" ref="E69:K69" si="23">INDEX($D$11:$K$17,MATCH($A69,$A$11:$A$17,0),0)</f>
        <v>0</v>
      </c>
      <c r="F69" s="786">
        <f t="shared" si="23"/>
        <v>0</v>
      </c>
      <c r="G69" s="786">
        <f t="shared" si="23"/>
        <v>0</v>
      </c>
      <c r="H69" s="786">
        <f t="shared" si="23"/>
        <v>0</v>
      </c>
      <c r="I69" s="786">
        <f t="shared" si="23"/>
        <v>0</v>
      </c>
      <c r="J69" s="786">
        <f t="shared" si="23"/>
        <v>0</v>
      </c>
      <c r="K69" s="786">
        <f t="shared" si="23"/>
        <v>0</v>
      </c>
      <c r="L69" s="673">
        <f>SUM(D69:INDEX(D69:K69,0,MATCH('RFPR cover'!$C$7,$D$6:$K$6,0)))</f>
        <v>0</v>
      </c>
      <c r="M69" s="674">
        <f>SUM(D69:K69)</f>
        <v>0</v>
      </c>
    </row>
    <row r="70" spans="1:14" s="2" customFormat="1">
      <c r="A70" s="160"/>
      <c r="B70" s="35" t="s">
        <v>200</v>
      </c>
      <c r="C70" s="294" t="s">
        <v>208</v>
      </c>
      <c r="D70" s="890">
        <f>IF($C70=$B$33,$B$33,INDEX(Data!$G$14:$G$30,MATCH('R5 - Output Incentives'!D$6+RIGHT('R5 - Output Incentives'!$C70,2),Data!$C$14:$C$30,0),0))</f>
        <v>0.2</v>
      </c>
      <c r="E70" s="891">
        <f>IF($C70=$B$33,$B$33,INDEX(Data!$G$14:$G$30,MATCH('R5 - Output Incentives'!E$6+RIGHT('R5 - Output Incentives'!$C70,2),Data!$C$14:$C$30,0),0))</f>
        <v>0.19</v>
      </c>
      <c r="F70" s="891">
        <f>IF($C70=$B$33,$B$33,INDEX(Data!$G$14:$G$30,MATCH('R5 - Output Incentives'!F$6+RIGHT('R5 - Output Incentives'!$C70,2),Data!$C$14:$C$30,0),0))</f>
        <v>0.19</v>
      </c>
      <c r="G70" s="891">
        <f>IF($C70=$B$33,$B$33,INDEX(Data!$G$14:$G$30,MATCH('R5 - Output Incentives'!G$6+RIGHT('R5 - Output Incentives'!$C70,2),Data!$C$14:$C$30,0),0))</f>
        <v>0.19</v>
      </c>
      <c r="H70" s="891">
        <f>IF($C70=$B$33,$B$33,INDEX(Data!$G$14:$G$30,MATCH('R5 - Output Incentives'!H$6+RIGHT('R5 - Output Incentives'!$C70,2),Data!$C$14:$C$30,0),0))</f>
        <v>0.19</v>
      </c>
      <c r="I70" s="891">
        <f>IF($C70=$B$33,$B$33,INDEX(Data!$G$14:$G$30,MATCH('R5 - Output Incentives'!I$6+RIGHT('R5 - Output Incentives'!$C70,2),Data!$C$14:$C$30,0),0))</f>
        <v>0.19</v>
      </c>
      <c r="J70" s="891">
        <f>IF($C70=$B$33,$B$33,INDEX(Data!$G$14:$G$30,MATCH('R5 - Output Incentives'!J$6+RIGHT('R5 - Output Incentives'!$C70,2),Data!$C$14:$C$30,0),0))</f>
        <v>0.19</v>
      </c>
      <c r="K70" s="892">
        <f>IF($C70=$B$33,$B$33,INDEX(Data!$G$14:$G$30,MATCH('R5 - Output Incentives'!K$6+RIGHT('R5 - Output Incentives'!$C70,2),Data!$C$14:$C$30,0),0))</f>
        <v>0.19</v>
      </c>
      <c r="L70" s="788"/>
      <c r="M70" s="789"/>
    </row>
    <row r="71" spans="1:14" s="2" customFormat="1">
      <c r="A71" s="160"/>
      <c r="B71" s="35" t="s">
        <v>209</v>
      </c>
      <c r="C71" s="155"/>
      <c r="D71" s="612">
        <f>IFERROR(D69*(1-D70),0)</f>
        <v>0</v>
      </c>
      <c r="E71" s="613">
        <f t="shared" ref="E71:K71" si="24">IFERROR(E69*(1-E70),0)</f>
        <v>0</v>
      </c>
      <c r="F71" s="613">
        <f t="shared" si="24"/>
        <v>0</v>
      </c>
      <c r="G71" s="613">
        <f t="shared" si="24"/>
        <v>0</v>
      </c>
      <c r="H71" s="613">
        <f t="shared" si="24"/>
        <v>0</v>
      </c>
      <c r="I71" s="613">
        <f t="shared" si="24"/>
        <v>0</v>
      </c>
      <c r="J71" s="613">
        <f t="shared" si="24"/>
        <v>0</v>
      </c>
      <c r="K71" s="613">
        <f t="shared" si="24"/>
        <v>0</v>
      </c>
      <c r="L71" s="671">
        <f>SUM(D71:INDEX(D71:K71,0,MATCH('RFPR cover'!$C$7,$D$6:$K$6,0)))</f>
        <v>0</v>
      </c>
      <c r="M71" s="672">
        <f>SUM(D71:K71)</f>
        <v>0</v>
      </c>
    </row>
    <row r="72" spans="1:14" s="2" customFormat="1">
      <c r="A72" s="160"/>
      <c r="B72" s="51"/>
      <c r="C72" s="156"/>
      <c r="D72" s="156"/>
      <c r="E72" s="156"/>
      <c r="F72" s="156"/>
      <c r="G72" s="156"/>
      <c r="H72" s="156"/>
      <c r="I72" s="156"/>
      <c r="J72" s="156"/>
      <c r="K72" s="156"/>
      <c r="L72" s="156"/>
      <c r="M72" s="156"/>
    </row>
    <row r="73" spans="1:14" s="2" customFormat="1">
      <c r="A73" s="160" t="s">
        <v>464</v>
      </c>
      <c r="B73" s="171" t="str">
        <f>INDEX($B$11:$B$17,MATCH($A73,$A$11:$A$17,0),0)&amp;""</f>
        <v/>
      </c>
      <c r="C73" s="155" t="str">
        <f>'RFPR cover'!$C$14</f>
        <v>£m 12/13</v>
      </c>
      <c r="D73" s="786">
        <f>INDEX($D$11:$K$17,MATCH($A73,$A$11:$A$17,0),0)</f>
        <v>0</v>
      </c>
      <c r="E73" s="786">
        <f t="shared" ref="E73:K73" si="25">INDEX($D$11:$K$17,MATCH($A73,$A$11:$A$17,0),0)</f>
        <v>0</v>
      </c>
      <c r="F73" s="786">
        <f t="shared" si="25"/>
        <v>0</v>
      </c>
      <c r="G73" s="786">
        <f t="shared" si="25"/>
        <v>0</v>
      </c>
      <c r="H73" s="786">
        <f t="shared" si="25"/>
        <v>0</v>
      </c>
      <c r="I73" s="786">
        <f t="shared" si="25"/>
        <v>0</v>
      </c>
      <c r="J73" s="786">
        <f t="shared" si="25"/>
        <v>0</v>
      </c>
      <c r="K73" s="786">
        <f t="shared" si="25"/>
        <v>0</v>
      </c>
      <c r="L73" s="673">
        <f>SUM(D73:INDEX(D73:K73,0,MATCH('RFPR cover'!$C$7,$D$6:$K$6,0)))</f>
        <v>0</v>
      </c>
      <c r="M73" s="674">
        <f>SUM(D73:K73)</f>
        <v>0</v>
      </c>
    </row>
    <row r="74" spans="1:14" s="2" customFormat="1">
      <c r="A74" s="160"/>
      <c r="B74" s="35" t="s">
        <v>200</v>
      </c>
      <c r="C74" s="294" t="s">
        <v>208</v>
      </c>
      <c r="D74" s="890">
        <f>IF($C74=$B$33,$B$33,INDEX(Data!$G$14:$G$30,MATCH('R5 - Output Incentives'!D$6+RIGHT('R5 - Output Incentives'!$C74,2),Data!$C$14:$C$30,0),0))</f>
        <v>0.2</v>
      </c>
      <c r="E74" s="891">
        <f>IF($C74=$B$33,$B$33,INDEX(Data!$G$14:$G$30,MATCH('R5 - Output Incentives'!E$6+RIGHT('R5 - Output Incentives'!$C74,2),Data!$C$14:$C$30,0),0))</f>
        <v>0.19</v>
      </c>
      <c r="F74" s="891">
        <f>IF($C74=$B$33,$B$33,INDEX(Data!$G$14:$G$30,MATCH('R5 - Output Incentives'!F$6+RIGHT('R5 - Output Incentives'!$C74,2),Data!$C$14:$C$30,0),0))</f>
        <v>0.19</v>
      </c>
      <c r="G74" s="891">
        <f>IF($C74=$B$33,$B$33,INDEX(Data!$G$14:$G$30,MATCH('R5 - Output Incentives'!G$6+RIGHT('R5 - Output Incentives'!$C74,2),Data!$C$14:$C$30,0),0))</f>
        <v>0.19</v>
      </c>
      <c r="H74" s="891">
        <f>IF($C74=$B$33,$B$33,INDEX(Data!$G$14:$G$30,MATCH('R5 - Output Incentives'!H$6+RIGHT('R5 - Output Incentives'!$C74,2),Data!$C$14:$C$30,0),0))</f>
        <v>0.19</v>
      </c>
      <c r="I74" s="891">
        <f>IF($C74=$B$33,$B$33,INDEX(Data!$G$14:$G$30,MATCH('R5 - Output Incentives'!I$6+RIGHT('R5 - Output Incentives'!$C74,2),Data!$C$14:$C$30,0),0))</f>
        <v>0.19</v>
      </c>
      <c r="J74" s="891">
        <f>IF($C74=$B$33,$B$33,INDEX(Data!$G$14:$G$30,MATCH('R5 - Output Incentives'!J$6+RIGHT('R5 - Output Incentives'!$C74,2),Data!$C$14:$C$30,0),0))</f>
        <v>0.19</v>
      </c>
      <c r="K74" s="892">
        <f>IF($C74=$B$33,$B$33,INDEX(Data!$G$14:$G$30,MATCH('R5 - Output Incentives'!K$6+RIGHT('R5 - Output Incentives'!$C74,2),Data!$C$14:$C$30,0),0))</f>
        <v>0.19</v>
      </c>
      <c r="L74" s="788"/>
      <c r="M74" s="789"/>
    </row>
    <row r="75" spans="1:14" s="2" customFormat="1">
      <c r="A75" s="160"/>
      <c r="B75" s="35" t="s">
        <v>209</v>
      </c>
      <c r="C75" s="155"/>
      <c r="D75" s="612">
        <f>IFERROR(D73*(1-D74),0)</f>
        <v>0</v>
      </c>
      <c r="E75" s="613">
        <f t="shared" ref="E75:K75" si="26">IFERROR(E73*(1-E74),0)</f>
        <v>0</v>
      </c>
      <c r="F75" s="613">
        <f t="shared" si="26"/>
        <v>0</v>
      </c>
      <c r="G75" s="613">
        <f t="shared" si="26"/>
        <v>0</v>
      </c>
      <c r="H75" s="613">
        <f t="shared" si="26"/>
        <v>0</v>
      </c>
      <c r="I75" s="613">
        <f t="shared" si="26"/>
        <v>0</v>
      </c>
      <c r="J75" s="613">
        <f t="shared" si="26"/>
        <v>0</v>
      </c>
      <c r="K75" s="613">
        <f t="shared" si="26"/>
        <v>0</v>
      </c>
      <c r="L75" s="671">
        <f>SUM(D75:INDEX(D75:K75,0,MATCH('RFPR cover'!$C$7,$D$6:$K$6,0)))</f>
        <v>0</v>
      </c>
      <c r="M75" s="672">
        <f>SUM(D75:K75)</f>
        <v>0</v>
      </c>
    </row>
    <row r="76" spans="1:14" s="535" customFormat="1" ht="14.25" customHeight="1">
      <c r="A76" s="534"/>
      <c r="C76" s="536"/>
      <c r="D76" s="537"/>
      <c r="E76" s="537"/>
      <c r="F76" s="537"/>
      <c r="G76" s="537"/>
      <c r="H76" s="537"/>
      <c r="I76" s="537"/>
      <c r="J76" s="537"/>
      <c r="K76" s="537"/>
      <c r="L76" s="538"/>
      <c r="M76" s="538"/>
    </row>
    <row r="77" spans="1:14" s="2" customFormat="1">
      <c r="B77" s="116" t="s">
        <v>381</v>
      </c>
      <c r="C77" s="150"/>
      <c r="D77" s="133"/>
      <c r="E77" s="133"/>
      <c r="F77" s="133"/>
      <c r="G77" s="133"/>
      <c r="H77" s="133"/>
      <c r="I77" s="133"/>
      <c r="J77" s="133"/>
      <c r="K77" s="133"/>
      <c r="L77" s="81"/>
      <c r="M77" s="81"/>
      <c r="N77" s="81"/>
    </row>
    <row r="78" spans="1:14" s="2" customFormat="1">
      <c r="B78" s="368" t="s">
        <v>380</v>
      </c>
      <c r="C78" s="291"/>
      <c r="D78" s="292"/>
      <c r="E78" s="292"/>
      <c r="F78" s="292"/>
      <c r="G78" s="292"/>
      <c r="H78" s="292"/>
      <c r="I78" s="292"/>
      <c r="J78" s="292"/>
      <c r="K78" s="292"/>
      <c r="L78" s="293"/>
      <c r="M78" s="293"/>
      <c r="N78" s="293"/>
    </row>
    <row r="79" spans="1:14" s="2" customFormat="1">
      <c r="B79" s="368" t="s">
        <v>382</v>
      </c>
      <c r="C79" s="291"/>
      <c r="D79" s="292"/>
      <c r="E79" s="292"/>
      <c r="F79" s="292"/>
      <c r="G79" s="292"/>
      <c r="H79" s="292"/>
      <c r="I79" s="292"/>
      <c r="J79" s="292"/>
      <c r="K79" s="292"/>
      <c r="L79" s="293"/>
      <c r="M79" s="293"/>
      <c r="N79" s="293"/>
    </row>
    <row r="80" spans="1:14" s="535" customFormat="1">
      <c r="B80" s="540"/>
      <c r="C80" s="541"/>
      <c r="D80" s="542"/>
      <c r="E80" s="542"/>
      <c r="F80" s="542"/>
      <c r="G80" s="542"/>
      <c r="H80" s="542"/>
      <c r="I80" s="542"/>
      <c r="J80" s="542"/>
      <c r="K80" s="542"/>
    </row>
    <row r="81" spans="1:12" s="2" customFormat="1">
      <c r="B81" s="12"/>
      <c r="C81" s="543" t="s">
        <v>383</v>
      </c>
      <c r="D81" s="546" t="str">
        <f t="shared" ref="D81:K81" si="27">IF($C50=$B$33,D$6,IF(D$6-RIGHT($C50,1)&lt;$D$6,"Pre-RIIO",D$6-RIGHT($C50,1)))</f>
        <v>Pre-RIIO</v>
      </c>
      <c r="E81" s="547" t="str">
        <f t="shared" si="27"/>
        <v>Pre-RIIO</v>
      </c>
      <c r="F81" s="547">
        <f t="shared" si="27"/>
        <v>2016</v>
      </c>
      <c r="G81" s="547">
        <f t="shared" si="27"/>
        <v>2017</v>
      </c>
      <c r="H81" s="547">
        <f t="shared" si="27"/>
        <v>2018</v>
      </c>
      <c r="I81" s="547">
        <f t="shared" si="27"/>
        <v>2019</v>
      </c>
      <c r="J81" s="547">
        <f t="shared" si="27"/>
        <v>2020</v>
      </c>
      <c r="K81" s="548">
        <f t="shared" si="27"/>
        <v>2021</v>
      </c>
    </row>
    <row r="82" spans="1:12" s="2" customFormat="1">
      <c r="A82" s="3" t="str">
        <f>A11</f>
        <v>a</v>
      </c>
      <c r="B82" s="129" t="str">
        <f>B11&amp;""</f>
        <v>Broad measure of customer service</v>
      </c>
      <c r="C82" s="136" t="s">
        <v>128</v>
      </c>
      <c r="D82" s="640">
        <v>0.47673179999999987</v>
      </c>
      <c r="E82" s="641">
        <v>-4.141102499999999E-2</v>
      </c>
      <c r="F82" s="641">
        <v>3.286239693062226</v>
      </c>
      <c r="G82" s="641">
        <v>3.547670765873097</v>
      </c>
      <c r="H82" s="619">
        <v>3.2561219218963977</v>
      </c>
      <c r="I82" s="619">
        <v>4.9089255081230228</v>
      </c>
      <c r="J82" s="619">
        <v>5.1898023827526316</v>
      </c>
      <c r="K82" s="619">
        <v>4.087740063349341</v>
      </c>
    </row>
    <row r="83" spans="1:12" s="2" customFormat="1">
      <c r="A83" s="3"/>
      <c r="B83" s="129"/>
      <c r="C83" s="136"/>
      <c r="D83" s="136"/>
      <c r="E83" s="136"/>
      <c r="F83" s="136"/>
      <c r="G83" s="136"/>
      <c r="H83" s="136"/>
      <c r="I83" s="136"/>
      <c r="J83" s="136"/>
      <c r="K83" s="136"/>
      <c r="L83" s="136"/>
    </row>
    <row r="84" spans="1:12" s="2" customFormat="1">
      <c r="A84" s="3"/>
      <c r="B84" s="129"/>
      <c r="C84" s="543" t="s">
        <v>383</v>
      </c>
      <c r="D84" s="546" t="str">
        <f t="shared" ref="D84:K84" si="28">IF($C54=$B$33,D$6,IF(D$6-RIGHT($C54,1)&lt;$D$6,"Pre-RIIO",D$6-RIGHT($C54,1)))</f>
        <v>Pre-RIIO</v>
      </c>
      <c r="E84" s="547" t="str">
        <f t="shared" si="28"/>
        <v>Pre-RIIO</v>
      </c>
      <c r="F84" s="547">
        <f t="shared" si="28"/>
        <v>2016</v>
      </c>
      <c r="G84" s="547">
        <f t="shared" si="28"/>
        <v>2017</v>
      </c>
      <c r="H84" s="547">
        <f t="shared" si="28"/>
        <v>2018</v>
      </c>
      <c r="I84" s="547">
        <f t="shared" si="28"/>
        <v>2019</v>
      </c>
      <c r="J84" s="547">
        <f t="shared" si="28"/>
        <v>2020</v>
      </c>
      <c r="K84" s="548">
        <f t="shared" si="28"/>
        <v>2021</v>
      </c>
    </row>
    <row r="85" spans="1:12" s="2" customFormat="1">
      <c r="A85" s="3" t="str">
        <f>A12</f>
        <v>b</v>
      </c>
      <c r="B85" s="129" t="str">
        <f>B12&amp;""</f>
        <v>Interruptions-related quality of service</v>
      </c>
      <c r="C85" s="136" t="s">
        <v>128</v>
      </c>
      <c r="D85" s="640">
        <v>4.2198844499999995</v>
      </c>
      <c r="E85" s="641">
        <v>7.2034982999999979</v>
      </c>
      <c r="F85" s="641">
        <v>6.9493722284399873</v>
      </c>
      <c r="G85" s="641">
        <v>3.1975512120987921</v>
      </c>
      <c r="H85" s="619">
        <v>5.8619429669429604</v>
      </c>
      <c r="I85" s="619">
        <v>2.4398113939629442</v>
      </c>
      <c r="J85" s="619">
        <v>2.9927937677714582</v>
      </c>
      <c r="K85" s="619">
        <v>1.8651851095747185</v>
      </c>
    </row>
    <row r="86" spans="1:12" s="2" customFormat="1">
      <c r="A86" s="3"/>
      <c r="B86" s="129"/>
      <c r="C86" s="136"/>
      <c r="D86" s="136"/>
      <c r="E86" s="136"/>
      <c r="F86" s="136"/>
      <c r="G86" s="136"/>
      <c r="H86" s="136"/>
      <c r="I86" s="136"/>
      <c r="J86" s="136"/>
      <c r="K86" s="136"/>
      <c r="L86" s="136"/>
    </row>
    <row r="87" spans="1:12" s="2" customFormat="1">
      <c r="A87" s="3"/>
      <c r="B87" s="129"/>
      <c r="C87" s="543" t="s">
        <v>383</v>
      </c>
      <c r="D87" s="546" t="str">
        <f t="shared" ref="D87:K87" si="29">IF($C58=$B$33,D$6,IF(D$6-RIGHT($C58,1)&lt;$D$6,"Pre-RIIO",D$6-RIGHT($C58,1)))</f>
        <v>Pre-RIIO</v>
      </c>
      <c r="E87" s="547" t="str">
        <f t="shared" si="29"/>
        <v>Pre-RIIO</v>
      </c>
      <c r="F87" s="547" t="str">
        <f t="shared" si="29"/>
        <v>Pre-RIIO</v>
      </c>
      <c r="G87" s="547">
        <f t="shared" si="29"/>
        <v>2016</v>
      </c>
      <c r="H87" s="547">
        <f t="shared" si="29"/>
        <v>2017</v>
      </c>
      <c r="I87" s="547">
        <f t="shared" si="29"/>
        <v>2018</v>
      </c>
      <c r="J87" s="547">
        <f t="shared" si="29"/>
        <v>2019</v>
      </c>
      <c r="K87" s="548">
        <f t="shared" si="29"/>
        <v>2020</v>
      </c>
    </row>
    <row r="88" spans="1:12" s="2" customFormat="1">
      <c r="A88" s="3" t="str">
        <f>A13</f>
        <v>c</v>
      </c>
      <c r="B88" s="129" t="str">
        <f>B13&amp;""</f>
        <v>Incentive on connections engagement</v>
      </c>
      <c r="C88" s="136" t="s">
        <v>128</v>
      </c>
      <c r="D88" s="640">
        <v>0</v>
      </c>
      <c r="E88" s="641">
        <v>0</v>
      </c>
      <c r="F88" s="641">
        <v>0</v>
      </c>
      <c r="G88" s="641">
        <v>0</v>
      </c>
      <c r="H88" s="619">
        <v>0</v>
      </c>
      <c r="I88" s="619">
        <v>0</v>
      </c>
      <c r="J88" s="619">
        <v>0</v>
      </c>
      <c r="K88" s="619">
        <v>0</v>
      </c>
    </row>
    <row r="89" spans="1:12" s="2" customFormat="1">
      <c r="A89" s="3"/>
      <c r="B89" s="129"/>
      <c r="C89" s="136"/>
      <c r="D89" s="136"/>
      <c r="E89" s="136"/>
      <c r="F89" s="136"/>
      <c r="G89" s="136"/>
      <c r="H89" s="136"/>
      <c r="I89" s="136"/>
      <c r="J89" s="136"/>
      <c r="K89" s="136"/>
      <c r="L89" s="136"/>
    </row>
    <row r="90" spans="1:12" s="2" customFormat="1">
      <c r="A90" s="3"/>
      <c r="B90" s="129"/>
      <c r="C90" s="543" t="s">
        <v>383</v>
      </c>
      <c r="D90" s="546" t="str">
        <f t="shared" ref="D90:K90" si="30">IF($C62=$B$33,D$6,IF(D$6-RIGHT($C62,1)&lt;$D$6,"Pre-RIIO",D$6-RIGHT($C62,1)))</f>
        <v>Pre-RIIO</v>
      </c>
      <c r="E90" s="547" t="str">
        <f t="shared" si="30"/>
        <v>Pre-RIIO</v>
      </c>
      <c r="F90" s="547">
        <f t="shared" si="30"/>
        <v>2016</v>
      </c>
      <c r="G90" s="547">
        <f t="shared" si="30"/>
        <v>2017</v>
      </c>
      <c r="H90" s="547">
        <f t="shared" si="30"/>
        <v>2018</v>
      </c>
      <c r="I90" s="547">
        <f t="shared" si="30"/>
        <v>2019</v>
      </c>
      <c r="J90" s="547">
        <f t="shared" si="30"/>
        <v>2020</v>
      </c>
      <c r="K90" s="548">
        <f t="shared" si="30"/>
        <v>2021</v>
      </c>
    </row>
    <row r="91" spans="1:12" s="2" customFormat="1">
      <c r="A91" s="3" t="str">
        <f>A14</f>
        <v>d</v>
      </c>
      <c r="B91" s="129" t="str">
        <f>B14&amp;""</f>
        <v>Time to Connect Incentive</v>
      </c>
      <c r="C91" s="136" t="s">
        <v>128</v>
      </c>
      <c r="D91" s="640">
        <v>0</v>
      </c>
      <c r="E91" s="641">
        <v>0</v>
      </c>
      <c r="F91" s="641">
        <v>1.0689414082423709</v>
      </c>
      <c r="G91" s="641">
        <v>0.64982200878716667</v>
      </c>
      <c r="H91" s="619">
        <v>0.67413834678655349</v>
      </c>
      <c r="I91" s="619">
        <v>0.69473710023500557</v>
      </c>
      <c r="J91" s="619">
        <v>0.12286767961265573</v>
      </c>
      <c r="K91" s="619">
        <v>0.10945044247266769</v>
      </c>
    </row>
    <row r="92" spans="1:12" s="2" customFormat="1">
      <c r="A92" s="3"/>
      <c r="B92" s="129"/>
      <c r="C92" s="136"/>
      <c r="D92" s="136"/>
      <c r="E92" s="136"/>
      <c r="F92" s="136"/>
      <c r="G92" s="136"/>
      <c r="H92" s="136"/>
      <c r="I92" s="136"/>
      <c r="J92" s="136"/>
      <c r="K92" s="136"/>
      <c r="L92" s="136"/>
    </row>
    <row r="93" spans="1:12" s="2" customFormat="1">
      <c r="A93" s="3"/>
      <c r="B93" s="129"/>
      <c r="C93" s="543" t="s">
        <v>383</v>
      </c>
      <c r="D93" s="546" t="str">
        <f>IF($C66=$B$33,D$6,IF(D$6-RIGHT($C66,1)&lt;$D$6,"Pre-RIIO",D$6-RIGHT($C66,1)))</f>
        <v>Pre-RIIO</v>
      </c>
      <c r="E93" s="547">
        <f t="shared" ref="E93:K93" si="31">IF($C66=$B$33,E$6,IF(E$6-RIGHT($C66,1)&lt;$D$6,"Pre-RIIO",E$6-RIGHT($C66,1)))</f>
        <v>2016</v>
      </c>
      <c r="F93" s="547">
        <f t="shared" si="31"/>
        <v>2017</v>
      </c>
      <c r="G93" s="547">
        <f t="shared" si="31"/>
        <v>2018</v>
      </c>
      <c r="H93" s="547">
        <f t="shared" si="31"/>
        <v>2019</v>
      </c>
      <c r="I93" s="547">
        <f t="shared" si="31"/>
        <v>2020</v>
      </c>
      <c r="J93" s="547">
        <f t="shared" si="31"/>
        <v>2021</v>
      </c>
      <c r="K93" s="548">
        <f t="shared" si="31"/>
        <v>2022</v>
      </c>
    </row>
    <row r="94" spans="1:12" s="2" customFormat="1">
      <c r="A94" s="3" t="str">
        <f>A15</f>
        <v>e</v>
      </c>
      <c r="B94" s="129" t="str">
        <f>B15&amp;""</f>
        <v>Losses discretionary reward scheme</v>
      </c>
      <c r="C94" s="136" t="s">
        <v>128</v>
      </c>
      <c r="D94" s="640">
        <v>0</v>
      </c>
      <c r="E94" s="641">
        <v>0</v>
      </c>
      <c r="F94" s="641">
        <v>0.431585</v>
      </c>
      <c r="G94" s="641">
        <v>0</v>
      </c>
      <c r="H94" s="619">
        <v>0</v>
      </c>
      <c r="I94" s="619">
        <v>0</v>
      </c>
      <c r="J94" s="619">
        <v>0</v>
      </c>
      <c r="K94" s="619">
        <v>0</v>
      </c>
    </row>
    <row r="95" spans="1:12" s="2" customFormat="1">
      <c r="A95" s="3"/>
      <c r="B95" s="129"/>
      <c r="C95" s="136"/>
      <c r="D95" s="136"/>
      <c r="E95" s="136"/>
      <c r="F95" s="136"/>
      <c r="G95" s="136"/>
      <c r="H95" s="136"/>
      <c r="I95" s="136"/>
      <c r="J95" s="136"/>
      <c r="K95" s="136"/>
      <c r="L95" s="136"/>
    </row>
    <row r="96" spans="1:12" s="2" customFormat="1">
      <c r="A96" s="3"/>
      <c r="B96" s="129"/>
      <c r="C96" s="543" t="s">
        <v>383</v>
      </c>
      <c r="D96" s="546" t="str">
        <f>IF($C70=$B$33,D$6,IF(D$6-RIGHT($C70,1)&lt;$D$6,"Pre-RIIO",D$6-RIGHT($C70,1)))</f>
        <v>Pre-RIIO</v>
      </c>
      <c r="E96" s="546">
        <f t="shared" ref="E96:K96" si="32">IF($C70=$B$33,E$6,IF(E$6-RIGHT($C70,1)&lt;$D$6,"Pre-RIIO",E$6-RIGHT($C70,1)))</f>
        <v>2016</v>
      </c>
      <c r="F96" s="546">
        <f t="shared" si="32"/>
        <v>2017</v>
      </c>
      <c r="G96" s="546">
        <f t="shared" si="32"/>
        <v>2018</v>
      </c>
      <c r="H96" s="546">
        <f t="shared" si="32"/>
        <v>2019</v>
      </c>
      <c r="I96" s="546">
        <f t="shared" si="32"/>
        <v>2020</v>
      </c>
      <c r="J96" s="546">
        <f t="shared" si="32"/>
        <v>2021</v>
      </c>
      <c r="K96" s="546">
        <f t="shared" si="32"/>
        <v>2022</v>
      </c>
    </row>
    <row r="97" spans="1:13" s="2" customFormat="1">
      <c r="A97" s="3" t="str">
        <f>A16</f>
        <v>f</v>
      </c>
      <c r="B97" s="129" t="str">
        <f>B16&amp;""</f>
        <v/>
      </c>
      <c r="C97" s="136" t="s">
        <v>128</v>
      </c>
      <c r="D97" s="640">
        <v>0</v>
      </c>
      <c r="E97" s="641">
        <v>0</v>
      </c>
      <c r="F97" s="641">
        <v>0</v>
      </c>
      <c r="G97" s="641">
        <v>0</v>
      </c>
      <c r="H97" s="619">
        <v>0</v>
      </c>
      <c r="I97" s="619">
        <v>0</v>
      </c>
      <c r="J97" s="619">
        <v>0</v>
      </c>
      <c r="K97" s="619">
        <v>0</v>
      </c>
    </row>
    <row r="98" spans="1:13" s="2" customFormat="1">
      <c r="A98" s="3"/>
      <c r="B98" s="129"/>
      <c r="C98" s="136"/>
      <c r="D98" s="136"/>
      <c r="E98" s="136"/>
      <c r="F98" s="136"/>
      <c r="G98" s="136"/>
      <c r="H98" s="136"/>
      <c r="I98" s="136"/>
      <c r="J98" s="136"/>
      <c r="K98" s="136"/>
      <c r="L98" s="136"/>
    </row>
    <row r="99" spans="1:13" s="2" customFormat="1">
      <c r="A99" s="3"/>
      <c r="B99" s="129"/>
      <c r="C99" s="543" t="s">
        <v>383</v>
      </c>
      <c r="D99" s="546" t="str">
        <f>IF($C74=$B$33,D$6,IF(D$6-RIGHT($C74,1)&lt;$D$6,"Pre-RIIO",D$6-RIGHT($C74,1)))</f>
        <v>Pre-RIIO</v>
      </c>
      <c r="E99" s="546">
        <f t="shared" ref="E99:K99" si="33">IF($C74=$B$33,E$6,IF(E$6-RIGHT($C74,1)&lt;$D$6,"Pre-RIIO",E$6-RIGHT($C74,1)))</f>
        <v>2016</v>
      </c>
      <c r="F99" s="546">
        <f t="shared" si="33"/>
        <v>2017</v>
      </c>
      <c r="G99" s="546">
        <f t="shared" si="33"/>
        <v>2018</v>
      </c>
      <c r="H99" s="546">
        <f t="shared" si="33"/>
        <v>2019</v>
      </c>
      <c r="I99" s="546">
        <f t="shared" si="33"/>
        <v>2020</v>
      </c>
      <c r="J99" s="546">
        <f t="shared" si="33"/>
        <v>2021</v>
      </c>
      <c r="K99" s="546">
        <f t="shared" si="33"/>
        <v>2022</v>
      </c>
    </row>
    <row r="100" spans="1:13" s="2" customFormat="1">
      <c r="A100" s="3" t="str">
        <f>A17</f>
        <v>g</v>
      </c>
      <c r="B100" s="129" t="str">
        <f>B17&amp;""</f>
        <v/>
      </c>
      <c r="C100" s="136" t="s">
        <v>128</v>
      </c>
      <c r="D100" s="640">
        <v>0</v>
      </c>
      <c r="E100" s="641">
        <v>0</v>
      </c>
      <c r="F100" s="641">
        <v>0</v>
      </c>
      <c r="G100" s="641">
        <v>0</v>
      </c>
      <c r="H100" s="619">
        <v>0</v>
      </c>
      <c r="I100" s="619">
        <v>0</v>
      </c>
      <c r="J100" s="619">
        <v>0</v>
      </c>
      <c r="K100" s="619">
        <v>0</v>
      </c>
    </row>
    <row r="101" spans="1:13" s="2" customFormat="1">
      <c r="A101" s="3"/>
      <c r="B101" s="129"/>
      <c r="C101" s="136"/>
      <c r="D101" s="136"/>
      <c r="E101" s="136"/>
      <c r="F101" s="136"/>
      <c r="G101" s="136"/>
      <c r="H101" s="136"/>
      <c r="I101" s="136"/>
      <c r="J101" s="136"/>
      <c r="K101" s="136"/>
      <c r="L101" s="136"/>
      <c r="M101" s="136"/>
    </row>
    <row r="102" spans="1:13" s="2" customFormat="1">
      <c r="B102" s="12" t="s">
        <v>157</v>
      </c>
      <c r="C102" s="157" t="s">
        <v>128</v>
      </c>
      <c r="D102" s="612">
        <f>SUM(D82,D85,D88,D91,D94,D97,D100)</f>
        <v>4.696616249999999</v>
      </c>
      <c r="E102" s="612">
        <f t="shared" ref="E102:K102" si="34">SUM(E82,E85,E88,E91,E94,E97,E100)</f>
        <v>7.1620872749999975</v>
      </c>
      <c r="F102" s="612">
        <f t="shared" si="34"/>
        <v>11.736138329744584</v>
      </c>
      <c r="G102" s="612">
        <f t="shared" si="34"/>
        <v>7.3950439867590561</v>
      </c>
      <c r="H102" s="613">
        <f>SUM(H82,H85,H88,H91,H94,H97,H100)</f>
        <v>9.7922032356259123</v>
      </c>
      <c r="I102" s="613">
        <f t="shared" si="34"/>
        <v>8.0434740023209734</v>
      </c>
      <c r="J102" s="613">
        <f t="shared" si="34"/>
        <v>8.3054638301367447</v>
      </c>
      <c r="K102" s="613">
        <f t="shared" si="34"/>
        <v>6.0623756153967276</v>
      </c>
    </row>
    <row r="103" spans="1:13" s="2" customFormat="1">
      <c r="C103" s="136"/>
    </row>
    <row r="104" spans="1:13" s="2" customFormat="1">
      <c r="A104" s="35"/>
      <c r="B104" s="12" t="s">
        <v>358</v>
      </c>
      <c r="C104" s="156"/>
      <c r="D104" s="156"/>
      <c r="E104" s="156"/>
      <c r="F104" s="156"/>
      <c r="G104" s="156"/>
      <c r="H104" s="156"/>
      <c r="I104" s="156"/>
      <c r="J104" s="156"/>
      <c r="K104" s="156"/>
      <c r="L104" s="156"/>
      <c r="M104" s="156"/>
    </row>
    <row r="105" spans="1:13" s="2" customFormat="1">
      <c r="A105" s="269" t="str">
        <f>A82</f>
        <v>a</v>
      </c>
      <c r="B105" s="997" t="s">
        <v>240</v>
      </c>
      <c r="C105" s="997"/>
      <c r="D105" s="997"/>
      <c r="E105" s="997"/>
      <c r="F105" s="997"/>
      <c r="G105" s="997"/>
      <c r="H105" s="997"/>
      <c r="I105" s="997"/>
      <c r="J105" s="997"/>
      <c r="K105" s="997"/>
      <c r="L105" s="997"/>
      <c r="M105" s="997"/>
    </row>
    <row r="106" spans="1:13" s="2" customFormat="1">
      <c r="A106" s="269" t="str">
        <f>A85</f>
        <v>b</v>
      </c>
      <c r="B106" s="997" t="s">
        <v>240</v>
      </c>
      <c r="C106" s="997"/>
      <c r="D106" s="997"/>
      <c r="E106" s="997"/>
      <c r="F106" s="997"/>
      <c r="G106" s="997"/>
      <c r="H106" s="997"/>
      <c r="I106" s="997"/>
      <c r="J106" s="997"/>
      <c r="K106" s="997"/>
      <c r="L106" s="997"/>
      <c r="M106" s="997"/>
    </row>
    <row r="107" spans="1:13" s="2" customFormat="1">
      <c r="A107" s="269" t="str">
        <f>A88</f>
        <v>c</v>
      </c>
      <c r="B107" s="997" t="s">
        <v>240</v>
      </c>
      <c r="C107" s="997"/>
      <c r="D107" s="997"/>
      <c r="E107" s="997"/>
      <c r="F107" s="997"/>
      <c r="G107" s="997"/>
      <c r="H107" s="997"/>
      <c r="I107" s="997"/>
      <c r="J107" s="997"/>
      <c r="K107" s="997"/>
      <c r="L107" s="997"/>
      <c r="M107" s="997"/>
    </row>
    <row r="108" spans="1:13" s="2" customFormat="1">
      <c r="A108" s="269" t="str">
        <f>A91</f>
        <v>d</v>
      </c>
      <c r="B108" s="997" t="s">
        <v>240</v>
      </c>
      <c r="C108" s="997"/>
      <c r="D108" s="997"/>
      <c r="E108" s="997"/>
      <c r="F108" s="997"/>
      <c r="G108" s="997"/>
      <c r="H108" s="997"/>
      <c r="I108" s="997"/>
      <c r="J108" s="997"/>
      <c r="K108" s="997"/>
      <c r="L108" s="997"/>
      <c r="M108" s="997"/>
    </row>
    <row r="109" spans="1:13" s="2" customFormat="1">
      <c r="A109" s="269" t="str">
        <f>A94</f>
        <v>e</v>
      </c>
      <c r="B109" s="997" t="s">
        <v>240</v>
      </c>
      <c r="C109" s="997"/>
      <c r="D109" s="997"/>
      <c r="E109" s="997"/>
      <c r="F109" s="997"/>
      <c r="G109" s="997"/>
      <c r="H109" s="997"/>
      <c r="I109" s="997"/>
      <c r="J109" s="997"/>
      <c r="K109" s="997"/>
      <c r="L109" s="997"/>
      <c r="M109" s="997"/>
    </row>
    <row r="110" spans="1:13" s="2" customFormat="1">
      <c r="A110" s="269" t="str">
        <f>A97</f>
        <v>f</v>
      </c>
      <c r="B110" s="997" t="s">
        <v>240</v>
      </c>
      <c r="C110" s="997"/>
      <c r="D110" s="997"/>
      <c r="E110" s="997"/>
      <c r="F110" s="997"/>
      <c r="G110" s="997"/>
      <c r="H110" s="997"/>
      <c r="I110" s="997"/>
      <c r="J110" s="997"/>
      <c r="K110" s="997"/>
      <c r="L110" s="997"/>
      <c r="M110" s="997"/>
    </row>
    <row r="111" spans="1:13" s="2" customFormat="1">
      <c r="A111" s="269" t="str">
        <f>A100</f>
        <v>g</v>
      </c>
      <c r="B111" s="997" t="s">
        <v>240</v>
      </c>
      <c r="C111" s="997"/>
      <c r="D111" s="997"/>
      <c r="E111" s="997"/>
      <c r="F111" s="997"/>
      <c r="G111" s="997"/>
      <c r="H111" s="997"/>
      <c r="I111" s="997"/>
      <c r="J111" s="997"/>
      <c r="K111" s="997"/>
      <c r="L111" s="997"/>
      <c r="M111" s="997"/>
    </row>
    <row r="112" spans="1:13" s="535" customFormat="1">
      <c r="A112" s="534"/>
      <c r="C112" s="536"/>
      <c r="D112" s="537"/>
      <c r="E112" s="537"/>
      <c r="F112" s="537"/>
      <c r="G112" s="537"/>
      <c r="H112" s="537"/>
      <c r="I112" s="537"/>
      <c r="J112" s="537"/>
      <c r="K112" s="537"/>
      <c r="L112" s="538"/>
      <c r="M112" s="538"/>
    </row>
    <row r="113" spans="1:14" s="535" customFormat="1">
      <c r="A113" s="534"/>
      <c r="C113" s="536"/>
      <c r="D113" s="536"/>
      <c r="E113" s="536"/>
      <c r="F113" s="536"/>
      <c r="G113" s="536"/>
      <c r="H113" s="536"/>
      <c r="I113" s="536"/>
      <c r="J113" s="536"/>
      <c r="K113" s="536"/>
      <c r="L113" s="536"/>
      <c r="M113" s="536"/>
    </row>
    <row r="114" spans="1:14" s="2" customFormat="1">
      <c r="A114" s="81"/>
      <c r="B114" s="81"/>
      <c r="C114" s="150"/>
      <c r="D114" s="81"/>
      <c r="E114" s="81"/>
      <c r="F114" s="81"/>
      <c r="G114" s="81"/>
      <c r="H114" s="81"/>
      <c r="I114" s="81"/>
      <c r="J114" s="81"/>
      <c r="K114" s="81"/>
      <c r="L114" s="81"/>
      <c r="M114" s="81"/>
      <c r="N114" s="81"/>
    </row>
  </sheetData>
  <mergeCells count="14">
    <mergeCell ref="B110:M110"/>
    <mergeCell ref="B111:M111"/>
    <mergeCell ref="B21:M21"/>
    <mergeCell ref="B22:M22"/>
    <mergeCell ref="B23:M23"/>
    <mergeCell ref="B24:M24"/>
    <mergeCell ref="B25:M25"/>
    <mergeCell ref="B105:M105"/>
    <mergeCell ref="B106:M106"/>
    <mergeCell ref="B107:M107"/>
    <mergeCell ref="B108:M108"/>
    <mergeCell ref="B109:M109"/>
    <mergeCell ref="B26:M26"/>
    <mergeCell ref="B27:M27"/>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2" s="31" customFormat="1" ht="20.25">
      <c r="A1" s="926" t="s">
        <v>100</v>
      </c>
      <c r="B1" s="922"/>
      <c r="C1" s="278"/>
      <c r="D1" s="256"/>
      <c r="E1" s="256"/>
      <c r="F1" s="256"/>
      <c r="G1" s="256"/>
      <c r="H1" s="256"/>
      <c r="I1" s="257"/>
      <c r="J1" s="257"/>
      <c r="K1" s="258"/>
      <c r="L1" s="259"/>
    </row>
    <row r="2" spans="1:12" s="31" customFormat="1" ht="20.25">
      <c r="A2" s="915" t="str">
        <f>'RFPR cover'!C5</f>
        <v>SPMW</v>
      </c>
      <c r="B2" s="907"/>
      <c r="C2" s="134"/>
      <c r="D2" s="29"/>
      <c r="E2" s="29"/>
      <c r="F2" s="29"/>
      <c r="G2" s="29"/>
      <c r="H2" s="29"/>
      <c r="I2" s="27"/>
      <c r="J2" s="27"/>
      <c r="K2" s="27"/>
      <c r="L2" s="123"/>
    </row>
    <row r="3" spans="1:12" s="37" customFormat="1" ht="23.25">
      <c r="A3" s="918">
        <f>'RFPR cover'!C7</f>
        <v>2021</v>
      </c>
      <c r="B3" s="924" t="str">
        <f>'R1 - RoRE'!B3</f>
        <v/>
      </c>
      <c r="C3" s="280"/>
      <c r="D3" s="279"/>
      <c r="E3" s="279"/>
      <c r="F3" s="279"/>
      <c r="G3" s="279"/>
      <c r="H3" s="279"/>
      <c r="I3" s="255"/>
      <c r="J3" s="255"/>
      <c r="K3" s="255"/>
      <c r="L3" s="261"/>
    </row>
    <row r="4" spans="1:12" s="2" customFormat="1" ht="12.75" customHeight="1">
      <c r="C4" s="136"/>
    </row>
    <row r="5" spans="1:12" s="2" customForma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1" t="s">
        <v>134</v>
      </c>
      <c r="C8" s="137"/>
      <c r="D8" s="57"/>
      <c r="E8" s="57"/>
      <c r="F8" s="57"/>
      <c r="G8" s="57"/>
      <c r="H8" s="57"/>
      <c r="I8" s="57"/>
      <c r="J8" s="57"/>
      <c r="K8" s="57"/>
    </row>
    <row r="9" spans="1:12" s="2" customFormat="1">
      <c r="B9" s="225" t="s">
        <v>501</v>
      </c>
      <c r="C9" s="152" t="s">
        <v>128</v>
      </c>
      <c r="D9" s="596">
        <v>1.609637251015867</v>
      </c>
      <c r="E9" s="597">
        <v>1.592995728024702</v>
      </c>
      <c r="F9" s="597">
        <v>1.4406169370769308</v>
      </c>
      <c r="G9" s="597">
        <v>1.5066522177844504</v>
      </c>
      <c r="H9" s="597">
        <v>1.7864643528152178</v>
      </c>
      <c r="I9" s="597">
        <v>1.9975438725975112</v>
      </c>
      <c r="J9" s="597">
        <v>1.484</v>
      </c>
      <c r="K9" s="597">
        <v>1.512</v>
      </c>
    </row>
    <row r="10" spans="1:12" s="2" customFormat="1">
      <c r="B10" s="225" t="s">
        <v>483</v>
      </c>
      <c r="C10" s="152" t="s">
        <v>128</v>
      </c>
      <c r="D10" s="598">
        <v>0</v>
      </c>
      <c r="E10" s="599">
        <v>0</v>
      </c>
      <c r="F10" s="599">
        <v>0</v>
      </c>
      <c r="G10" s="599">
        <v>0</v>
      </c>
      <c r="H10" s="599">
        <v>0</v>
      </c>
      <c r="I10" s="599">
        <v>0</v>
      </c>
      <c r="J10" s="599">
        <v>0</v>
      </c>
      <c r="K10" s="599">
        <v>0</v>
      </c>
    </row>
    <row r="11" spans="1:12" s="2" customFormat="1">
      <c r="B11" s="225" t="s">
        <v>500</v>
      </c>
      <c r="C11" s="152" t="s">
        <v>128</v>
      </c>
      <c r="D11" s="852">
        <v>0.15270628161020738</v>
      </c>
      <c r="E11" s="853">
        <v>0.15075280840747007</v>
      </c>
      <c r="F11" s="853">
        <v>0.13531169370769303</v>
      </c>
      <c r="G11" s="853">
        <v>0.15066522177844499</v>
      </c>
      <c r="H11" s="853">
        <v>0.1786464352815218</v>
      </c>
      <c r="I11" s="853">
        <v>0.19975438725975114</v>
      </c>
      <c r="J11" s="853">
        <v>0.1484</v>
      </c>
      <c r="K11" s="853">
        <v>0.1512</v>
      </c>
    </row>
    <row r="12" spans="1:12" s="12" customFormat="1">
      <c r="B12" s="51" t="s">
        <v>132</v>
      </c>
      <c r="C12" s="152" t="s">
        <v>128</v>
      </c>
      <c r="D12" s="612">
        <f>D9-D10-D11</f>
        <v>1.4569309694056596</v>
      </c>
      <c r="E12" s="613">
        <f t="shared" ref="E12:K12" si="1">E9-E10-E11</f>
        <v>1.4422429196172319</v>
      </c>
      <c r="F12" s="613">
        <f t="shared" si="1"/>
        <v>1.3053052433692378</v>
      </c>
      <c r="G12" s="613">
        <f t="shared" si="1"/>
        <v>1.3559869960060054</v>
      </c>
      <c r="H12" s="613">
        <f t="shared" si="1"/>
        <v>1.607817917533696</v>
      </c>
      <c r="I12" s="613">
        <f t="shared" si="1"/>
        <v>1.7977894853377601</v>
      </c>
      <c r="J12" s="613">
        <f t="shared" si="1"/>
        <v>1.3355999999999999</v>
      </c>
      <c r="K12" s="613">
        <f t="shared" si="1"/>
        <v>1.3608</v>
      </c>
      <c r="L12" s="2"/>
    </row>
    <row r="13" spans="1:12" s="12" customFormat="1">
      <c r="B13" s="51"/>
      <c r="C13" s="136"/>
      <c r="D13" s="52"/>
      <c r="E13" s="52"/>
      <c r="F13" s="52"/>
      <c r="G13" s="52"/>
      <c r="H13" s="52"/>
      <c r="I13" s="52"/>
      <c r="J13" s="52"/>
      <c r="K13" s="52"/>
      <c r="L13" s="2"/>
    </row>
    <row r="14" spans="1:12" s="2" customFormat="1">
      <c r="B14" s="51" t="s">
        <v>155</v>
      </c>
      <c r="C14" s="137"/>
      <c r="D14" s="57"/>
      <c r="E14" s="57"/>
      <c r="F14" s="57"/>
      <c r="G14" s="57"/>
      <c r="H14" s="57"/>
      <c r="I14" s="57"/>
      <c r="J14" s="57"/>
      <c r="K14" s="57"/>
    </row>
    <row r="15" spans="1:12" s="2" customFormat="1" ht="13.15" customHeight="1">
      <c r="B15" s="225" t="s">
        <v>503</v>
      </c>
      <c r="C15" s="152" t="s">
        <v>128</v>
      </c>
      <c r="D15" s="596">
        <v>1.0369999999999999</v>
      </c>
      <c r="E15" s="597">
        <v>5.5E-2</v>
      </c>
      <c r="F15" s="597">
        <v>0.159</v>
      </c>
      <c r="G15" s="597">
        <v>0.432</v>
      </c>
      <c r="H15" s="597">
        <v>5.9173440000000001E-2</v>
      </c>
      <c r="I15" s="597">
        <v>-0.159</v>
      </c>
      <c r="J15" s="597">
        <v>3.5000000000000003E-2</v>
      </c>
      <c r="K15" s="597">
        <v>0</v>
      </c>
    </row>
    <row r="16" spans="1:12" s="2" customFormat="1">
      <c r="B16" s="225" t="s">
        <v>502</v>
      </c>
      <c r="C16" s="152" t="s">
        <v>128</v>
      </c>
      <c r="D16" s="598">
        <v>0</v>
      </c>
      <c r="E16" s="599">
        <v>0</v>
      </c>
      <c r="F16" s="599">
        <v>0</v>
      </c>
      <c r="G16" s="599">
        <v>0</v>
      </c>
      <c r="H16" s="599">
        <v>0</v>
      </c>
      <c r="I16" s="599">
        <v>0</v>
      </c>
      <c r="J16" s="599">
        <v>0</v>
      </c>
      <c r="K16" s="599">
        <v>0</v>
      </c>
    </row>
    <row r="17" spans="2:12" s="12" customFormat="1">
      <c r="B17" s="51" t="s">
        <v>133</v>
      </c>
      <c r="C17" s="152" t="s">
        <v>128</v>
      </c>
      <c r="D17" s="612">
        <f>D15-D16</f>
        <v>1.0369999999999999</v>
      </c>
      <c r="E17" s="612">
        <f t="shared" ref="E17:K17" si="2">E15-E16</f>
        <v>5.5E-2</v>
      </c>
      <c r="F17" s="612">
        <f t="shared" si="2"/>
        <v>0.159</v>
      </c>
      <c r="G17" s="612">
        <f t="shared" si="2"/>
        <v>0.432</v>
      </c>
      <c r="H17" s="612">
        <f t="shared" si="2"/>
        <v>5.9173440000000001E-2</v>
      </c>
      <c r="I17" s="612">
        <f t="shared" si="2"/>
        <v>-0.159</v>
      </c>
      <c r="J17" s="612">
        <f t="shared" si="2"/>
        <v>3.5000000000000003E-2</v>
      </c>
      <c r="K17" s="612">
        <f t="shared" si="2"/>
        <v>0</v>
      </c>
      <c r="L17" s="2"/>
    </row>
    <row r="18" spans="2:12" s="12" customFormat="1">
      <c r="B18" s="51"/>
      <c r="C18" s="136"/>
      <c r="D18" s="52"/>
      <c r="E18" s="52"/>
      <c r="F18" s="52"/>
      <c r="G18" s="52"/>
      <c r="H18" s="52"/>
      <c r="I18" s="52"/>
      <c r="J18" s="52"/>
      <c r="K18" s="52"/>
      <c r="L18" s="2"/>
    </row>
    <row r="19" spans="2:12" s="2" customFormat="1">
      <c r="B19" s="51" t="s">
        <v>156</v>
      </c>
      <c r="C19" s="137"/>
      <c r="D19" s="57"/>
      <c r="E19" s="57"/>
      <c r="F19" s="57"/>
      <c r="G19" s="57"/>
      <c r="H19" s="57"/>
      <c r="I19" s="57"/>
      <c r="J19" s="57"/>
      <c r="K19" s="57"/>
    </row>
    <row r="20" spans="2:12" s="2" customFormat="1">
      <c r="B20" s="225" t="s">
        <v>432</v>
      </c>
      <c r="C20" s="152" t="s">
        <v>128</v>
      </c>
      <c r="D20" s="596">
        <v>13.121436210000001</v>
      </c>
      <c r="E20" s="597">
        <v>0</v>
      </c>
      <c r="F20" s="597">
        <v>7.2900614299999997</v>
      </c>
      <c r="G20" s="597">
        <v>6.85</v>
      </c>
      <c r="H20" s="597">
        <v>0</v>
      </c>
      <c r="I20" s="597">
        <v>0</v>
      </c>
      <c r="J20" s="597">
        <v>3</v>
      </c>
      <c r="K20" s="597">
        <v>0</v>
      </c>
    </row>
    <row r="21" spans="2:12" s="2" customFormat="1">
      <c r="B21" s="225" t="s">
        <v>500</v>
      </c>
      <c r="C21" s="152" t="s">
        <v>128</v>
      </c>
      <c r="D21" s="634">
        <v>1.48389057</v>
      </c>
      <c r="E21" s="635">
        <v>0</v>
      </c>
      <c r="F21" s="635">
        <v>0.82415976999999996</v>
      </c>
      <c r="G21" s="635">
        <v>0.77200000000000002</v>
      </c>
      <c r="H21" s="635">
        <v>0</v>
      </c>
      <c r="I21" s="635">
        <v>0</v>
      </c>
      <c r="J21" s="635">
        <v>0.33333333333333304</v>
      </c>
      <c r="K21" s="635">
        <v>0</v>
      </c>
    </row>
    <row r="22" spans="2:12" s="2" customFormat="1">
      <c r="B22" s="35"/>
      <c r="C22" s="138"/>
      <c r="D22" s="35"/>
      <c r="E22" s="35"/>
      <c r="F22" s="35"/>
      <c r="G22" s="35"/>
      <c r="H22" s="35"/>
      <c r="I22" s="35"/>
      <c r="J22" s="35"/>
      <c r="K22" s="35"/>
    </row>
    <row r="23" spans="2:12" s="2" customFormat="1">
      <c r="B23" s="225" t="s">
        <v>486</v>
      </c>
      <c r="C23" s="152" t="s">
        <v>128</v>
      </c>
      <c r="D23" s="634">
        <v>0</v>
      </c>
      <c r="E23" s="635">
        <v>0</v>
      </c>
      <c r="F23" s="635">
        <v>0</v>
      </c>
      <c r="G23" s="635">
        <v>0</v>
      </c>
      <c r="H23" s="635">
        <v>0</v>
      </c>
      <c r="I23" s="635">
        <v>0</v>
      </c>
      <c r="J23" s="635">
        <v>0</v>
      </c>
      <c r="K23" s="635">
        <v>0</v>
      </c>
    </row>
    <row r="24" spans="2:12" s="2" customFormat="1">
      <c r="B24" s="35"/>
      <c r="C24" s="138"/>
      <c r="D24" s="35"/>
      <c r="E24" s="35"/>
      <c r="F24" s="35"/>
      <c r="G24" s="35"/>
      <c r="H24" s="35"/>
      <c r="I24" s="35"/>
      <c r="J24" s="35"/>
      <c r="K24" s="35"/>
    </row>
    <row r="25" spans="2:12" s="2" customFormat="1">
      <c r="B25" s="81"/>
      <c r="C25" s="150"/>
      <c r="D25" s="81"/>
      <c r="E25" s="81"/>
      <c r="F25" s="81"/>
      <c r="G25" s="81"/>
      <c r="H25" s="81"/>
      <c r="I25" s="81"/>
      <c r="J25" s="81"/>
      <c r="K25" s="81"/>
      <c r="L25" s="81"/>
    </row>
    <row r="26" spans="2:12" s="2" customFormat="1">
      <c r="B26" s="35"/>
      <c r="C26" s="138"/>
      <c r="D26" s="35"/>
      <c r="E26" s="35"/>
      <c r="F26" s="35"/>
      <c r="G26" s="35"/>
      <c r="H26" s="35"/>
      <c r="I26" s="35"/>
      <c r="J26" s="35"/>
      <c r="K26" s="35"/>
    </row>
    <row r="27" spans="2:12" s="2" customFormat="1">
      <c r="B27" s="51" t="s">
        <v>378</v>
      </c>
      <c r="C27" s="138"/>
      <c r="D27" s="35"/>
      <c r="E27" s="35"/>
      <c r="F27" s="35"/>
      <c r="G27" s="35"/>
      <c r="H27" s="35"/>
      <c r="I27" s="35"/>
      <c r="J27" s="35"/>
      <c r="K27" s="35"/>
    </row>
    <row r="28" spans="2:12" s="2" customFormat="1">
      <c r="B28" s="225" t="s">
        <v>484</v>
      </c>
      <c r="C28" s="155" t="str">
        <f>'RFPR cover'!$C$14</f>
        <v>£m 12/13</v>
      </c>
      <c r="D28" s="682">
        <f>(SUM(D10,D11,D21)-D23)/Data!C34</f>
        <v>1.5434980695120804</v>
      </c>
      <c r="E28" s="682">
        <f>(SUM(E10,E11,E21)-E23)/Data!D34</f>
        <v>0.13919455454163801</v>
      </c>
      <c r="F28" s="682">
        <f>(SUM(F10,F11,F21)-F23)/Data!E34</f>
        <v>0.85395361496456923</v>
      </c>
      <c r="G28" s="682">
        <f>(SUM(G10,G11,G21)-G23)/Data!F34</f>
        <v>0.79684694092168606</v>
      </c>
      <c r="H28" s="682">
        <f>(SUM(H10,H11,H21)-H23)/Data!G34</f>
        <v>0.15039229207239954</v>
      </c>
      <c r="I28" s="682">
        <f>(SUM(I10,I11,I21)-I23)/Data!H34</f>
        <v>0.16614698482531312</v>
      </c>
      <c r="J28" s="682">
        <f>(SUM(J10,J11,J21)-J23)/Data!I34</f>
        <v>0.39034074090427995</v>
      </c>
      <c r="K28" s="682">
        <f>(SUM(K10,K11,K21)-K23)/Data!J34</f>
        <v>0.11885997419522765</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6" t="s">
        <v>263</v>
      </c>
      <c r="B1" s="922"/>
      <c r="C1" s="256"/>
      <c r="D1" s="256"/>
      <c r="E1" s="256"/>
      <c r="F1" s="256"/>
      <c r="G1" s="256"/>
      <c r="H1" s="256"/>
      <c r="I1" s="257"/>
      <c r="J1" s="257"/>
      <c r="K1" s="258"/>
      <c r="L1" s="258"/>
      <c r="M1" s="258"/>
      <c r="N1" s="259"/>
    </row>
    <row r="2" spans="1:14" s="31" customFormat="1" ht="20.25">
      <c r="A2" s="915" t="str">
        <f>'RFPR cover'!C5</f>
        <v>SPMW</v>
      </c>
      <c r="B2" s="907"/>
      <c r="C2" s="29"/>
      <c r="D2" s="29"/>
      <c r="E2" s="29"/>
      <c r="F2" s="29"/>
      <c r="G2" s="29"/>
      <c r="H2" s="29"/>
      <c r="I2" s="27"/>
      <c r="J2" s="27"/>
      <c r="K2" s="27"/>
      <c r="L2" s="27"/>
      <c r="M2" s="27"/>
      <c r="N2" s="123"/>
    </row>
    <row r="3" spans="1:14" s="31" customFormat="1" ht="23.25">
      <c r="A3" s="918">
        <f>'RFPR cover'!C7</f>
        <v>2021</v>
      </c>
      <c r="B3" s="924" t="str">
        <f>'R1 - RoRE'!B3</f>
        <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4" s="2" customFormat="1" ht="25.5">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101" t="str">
        <f>"Cumulative to "&amp;'RFPR cover'!$C$7</f>
        <v>Cumulative to 2021</v>
      </c>
      <c r="M6" s="281" t="s">
        <v>109</v>
      </c>
    </row>
    <row r="7" spans="1:14" s="2" customFormat="1"/>
    <row r="8" spans="1:14">
      <c r="B8" s="480" t="s">
        <v>302</v>
      </c>
      <c r="C8" s="152" t="s">
        <v>128</v>
      </c>
      <c r="D8" s="348">
        <v>41.399999999999991</v>
      </c>
      <c r="E8" s="386">
        <v>41.1</v>
      </c>
      <c r="F8" s="386">
        <v>40.199999999999989</v>
      </c>
      <c r="G8" s="386">
        <v>40.175030369999995</v>
      </c>
      <c r="H8" s="386">
        <v>42.162094950000011</v>
      </c>
      <c r="I8" s="386">
        <v>38.317174300000005</v>
      </c>
      <c r="J8" s="386">
        <v>39.237177810898039</v>
      </c>
      <c r="K8" s="387">
        <v>37.094903609890181</v>
      </c>
      <c r="L8" s="35"/>
      <c r="M8" s="35"/>
    </row>
    <row r="9" spans="1:14">
      <c r="B9" s="14"/>
      <c r="C9" s="152"/>
      <c r="D9" s="229"/>
      <c r="E9" s="229"/>
      <c r="F9" s="229"/>
      <c r="G9" s="229"/>
      <c r="H9" s="229"/>
      <c r="I9" s="229"/>
      <c r="J9" s="229"/>
      <c r="K9" s="229"/>
      <c r="L9" s="35"/>
      <c r="M9" s="35"/>
    </row>
    <row r="10" spans="1:14">
      <c r="B10" s="14" t="s">
        <v>462</v>
      </c>
      <c r="C10" s="16"/>
      <c r="D10" s="230"/>
      <c r="E10" s="230"/>
      <c r="F10" s="230"/>
      <c r="G10" s="230"/>
      <c r="H10" s="230"/>
      <c r="I10" s="230"/>
      <c r="J10" s="230"/>
      <c r="K10" s="230"/>
      <c r="L10" s="35"/>
      <c r="M10" s="35"/>
    </row>
    <row r="11" spans="1:14">
      <c r="B11" s="370" t="s">
        <v>12</v>
      </c>
      <c r="C11" s="152" t="s">
        <v>128</v>
      </c>
      <c r="D11" s="378">
        <v>0</v>
      </c>
      <c r="E11" s="379">
        <v>0</v>
      </c>
      <c r="F11" s="379">
        <v>0</v>
      </c>
      <c r="G11" s="379">
        <v>0</v>
      </c>
      <c r="H11" s="379">
        <v>0</v>
      </c>
      <c r="I11" s="379">
        <v>0</v>
      </c>
      <c r="J11" s="379">
        <v>0</v>
      </c>
      <c r="K11" s="383">
        <v>0</v>
      </c>
      <c r="L11" s="35"/>
      <c r="M11" s="35"/>
    </row>
    <row r="12" spans="1:14">
      <c r="B12" s="370" t="s">
        <v>13</v>
      </c>
      <c r="C12" s="152" t="s">
        <v>128</v>
      </c>
      <c r="D12" s="347">
        <v>0</v>
      </c>
      <c r="E12" s="380">
        <v>0</v>
      </c>
      <c r="F12" s="380">
        <v>0</v>
      </c>
      <c r="G12" s="380">
        <v>0</v>
      </c>
      <c r="H12" s="380">
        <v>0</v>
      </c>
      <c r="I12" s="380">
        <v>0</v>
      </c>
      <c r="J12" s="380">
        <v>0</v>
      </c>
      <c r="K12" s="384">
        <v>0</v>
      </c>
      <c r="L12" s="35"/>
      <c r="M12" s="35"/>
    </row>
    <row r="13" spans="1:14">
      <c r="B13" s="370" t="s">
        <v>14</v>
      </c>
      <c r="C13" s="152" t="s">
        <v>128</v>
      </c>
      <c r="D13" s="347">
        <v>0</v>
      </c>
      <c r="E13" s="380">
        <v>0</v>
      </c>
      <c r="F13" s="380">
        <v>0</v>
      </c>
      <c r="G13" s="380">
        <v>0</v>
      </c>
      <c r="H13" s="380">
        <v>0</v>
      </c>
      <c r="I13" s="380">
        <v>0</v>
      </c>
      <c r="J13" s="380">
        <v>0</v>
      </c>
      <c r="K13" s="384">
        <v>0</v>
      </c>
      <c r="L13" s="35"/>
      <c r="M13" s="35"/>
    </row>
    <row r="14" spans="1:14">
      <c r="B14" s="370" t="s">
        <v>15</v>
      </c>
      <c r="C14" s="152" t="s">
        <v>128</v>
      </c>
      <c r="D14" s="347">
        <v>0</v>
      </c>
      <c r="E14" s="380">
        <v>0</v>
      </c>
      <c r="F14" s="380">
        <v>0</v>
      </c>
      <c r="G14" s="380">
        <v>0</v>
      </c>
      <c r="H14" s="380">
        <v>0</v>
      </c>
      <c r="I14" s="380">
        <v>0</v>
      </c>
      <c r="J14" s="380">
        <v>0</v>
      </c>
      <c r="K14" s="384">
        <v>0</v>
      </c>
      <c r="L14" s="35"/>
      <c r="M14" s="35"/>
    </row>
    <row r="15" spans="1:14">
      <c r="B15" s="370" t="s">
        <v>16</v>
      </c>
      <c r="C15" s="152" t="s">
        <v>128</v>
      </c>
      <c r="D15" s="347">
        <v>0</v>
      </c>
      <c r="E15" s="380">
        <v>0</v>
      </c>
      <c r="F15" s="380">
        <v>0</v>
      </c>
      <c r="G15" s="380">
        <v>0</v>
      </c>
      <c r="H15" s="380">
        <v>0</v>
      </c>
      <c r="I15" s="380">
        <v>0</v>
      </c>
      <c r="J15" s="380">
        <v>0</v>
      </c>
      <c r="K15" s="384">
        <v>0</v>
      </c>
      <c r="L15" s="35"/>
      <c r="M15" s="35"/>
    </row>
    <row r="16" spans="1:14">
      <c r="B16" s="370" t="s">
        <v>17</v>
      </c>
      <c r="C16" s="152" t="s">
        <v>128</v>
      </c>
      <c r="D16" s="347">
        <v>0</v>
      </c>
      <c r="E16" s="380">
        <v>0</v>
      </c>
      <c r="F16" s="380">
        <v>0</v>
      </c>
      <c r="G16" s="380">
        <v>0</v>
      </c>
      <c r="H16" s="380">
        <v>0</v>
      </c>
      <c r="I16" s="380">
        <v>0</v>
      </c>
      <c r="J16" s="380">
        <v>0</v>
      </c>
      <c r="K16" s="384">
        <v>0</v>
      </c>
      <c r="L16" s="35"/>
    </row>
    <row r="17" spans="2:12">
      <c r="B17" s="370" t="s">
        <v>281</v>
      </c>
      <c r="C17" s="152" t="s">
        <v>128</v>
      </c>
      <c r="D17" s="347">
        <v>0</v>
      </c>
      <c r="E17" s="380">
        <v>0</v>
      </c>
      <c r="F17" s="380">
        <v>0</v>
      </c>
      <c r="G17" s="380">
        <v>0</v>
      </c>
      <c r="H17" s="380">
        <v>0</v>
      </c>
      <c r="I17" s="380">
        <v>0</v>
      </c>
      <c r="J17" s="380">
        <v>0</v>
      </c>
      <c r="K17" s="384">
        <v>0</v>
      </c>
      <c r="L17" s="35"/>
    </row>
    <row r="18" spans="2:12" ht="12.75" customHeight="1">
      <c r="B18" s="370" t="s">
        <v>18</v>
      </c>
      <c r="C18" s="152" t="s">
        <v>128</v>
      </c>
      <c r="D18" s="347">
        <v>0</v>
      </c>
      <c r="E18" s="380">
        <v>0</v>
      </c>
      <c r="F18" s="380">
        <v>0</v>
      </c>
      <c r="G18" s="380">
        <v>0</v>
      </c>
      <c r="H18" s="380">
        <v>0</v>
      </c>
      <c r="I18" s="380">
        <v>0</v>
      </c>
      <c r="J18" s="380">
        <v>0</v>
      </c>
      <c r="K18" s="384">
        <v>0</v>
      </c>
      <c r="L18" s="35"/>
    </row>
    <row r="19" spans="2:12">
      <c r="B19" s="370" t="s">
        <v>615</v>
      </c>
      <c r="C19" s="152" t="s">
        <v>128</v>
      </c>
      <c r="D19" s="347">
        <v>0</v>
      </c>
      <c r="E19" s="380">
        <v>0</v>
      </c>
      <c r="F19" s="380">
        <v>0</v>
      </c>
      <c r="G19" s="380">
        <v>0</v>
      </c>
      <c r="H19" s="380">
        <v>0</v>
      </c>
      <c r="I19" s="380">
        <v>0</v>
      </c>
      <c r="J19" s="380">
        <v>0</v>
      </c>
      <c r="K19" s="384">
        <v>0</v>
      </c>
      <c r="L19" s="35"/>
    </row>
    <row r="20" spans="2:12">
      <c r="B20" s="370" t="s">
        <v>616</v>
      </c>
      <c r="C20" s="152" t="s">
        <v>128</v>
      </c>
      <c r="D20" s="347">
        <v>0</v>
      </c>
      <c r="E20" s="380">
        <v>0</v>
      </c>
      <c r="F20" s="380">
        <v>0</v>
      </c>
      <c r="G20" s="380">
        <v>0</v>
      </c>
      <c r="H20" s="380">
        <v>0</v>
      </c>
      <c r="I20" s="380">
        <v>0</v>
      </c>
      <c r="J20" s="380">
        <v>0</v>
      </c>
      <c r="K20" s="384">
        <v>0</v>
      </c>
      <c r="L20" s="35"/>
    </row>
    <row r="21" spans="2:12">
      <c r="B21" s="370" t="s">
        <v>617</v>
      </c>
      <c r="C21" s="152" t="s">
        <v>128</v>
      </c>
      <c r="D21" s="347">
        <v>0</v>
      </c>
      <c r="E21" s="380">
        <v>0</v>
      </c>
      <c r="F21" s="380">
        <v>0</v>
      </c>
      <c r="G21" s="380">
        <v>0</v>
      </c>
      <c r="H21" s="380">
        <v>0</v>
      </c>
      <c r="I21" s="380">
        <v>0</v>
      </c>
      <c r="J21" s="380">
        <v>0</v>
      </c>
      <c r="K21" s="384">
        <v>0</v>
      </c>
      <c r="L21" s="35"/>
    </row>
    <row r="22" spans="2:12">
      <c r="B22" s="370" t="s">
        <v>618</v>
      </c>
      <c r="C22" s="152" t="s">
        <v>128</v>
      </c>
      <c r="D22" s="347">
        <v>0</v>
      </c>
      <c r="E22" s="380">
        <v>0</v>
      </c>
      <c r="F22" s="380">
        <v>0</v>
      </c>
      <c r="G22" s="380">
        <v>0</v>
      </c>
      <c r="H22" s="380">
        <v>0</v>
      </c>
      <c r="I22" s="380">
        <v>0</v>
      </c>
      <c r="J22" s="380">
        <v>0</v>
      </c>
      <c r="K22" s="384">
        <v>0</v>
      </c>
      <c r="L22" s="35"/>
    </row>
    <row r="23" spans="2:12">
      <c r="B23" s="370" t="s">
        <v>619</v>
      </c>
      <c r="C23" s="152" t="s">
        <v>128</v>
      </c>
      <c r="D23" s="347">
        <v>0</v>
      </c>
      <c r="E23" s="380">
        <v>0</v>
      </c>
      <c r="F23" s="380">
        <v>0</v>
      </c>
      <c r="G23" s="380">
        <v>0</v>
      </c>
      <c r="H23" s="380">
        <v>0</v>
      </c>
      <c r="I23" s="380">
        <v>0</v>
      </c>
      <c r="J23" s="380">
        <v>0</v>
      </c>
      <c r="K23" s="384">
        <v>0</v>
      </c>
      <c r="L23" s="35"/>
    </row>
    <row r="24" spans="2:12">
      <c r="B24" s="370" t="s">
        <v>620</v>
      </c>
      <c r="C24" s="152" t="s">
        <v>128</v>
      </c>
      <c r="D24" s="347">
        <v>0</v>
      </c>
      <c r="E24" s="380">
        <v>0</v>
      </c>
      <c r="F24" s="380">
        <v>0</v>
      </c>
      <c r="G24" s="380">
        <v>0</v>
      </c>
      <c r="H24" s="380">
        <v>0</v>
      </c>
      <c r="I24" s="380">
        <v>0</v>
      </c>
      <c r="J24" s="380">
        <v>0</v>
      </c>
      <c r="K24" s="384">
        <v>0</v>
      </c>
      <c r="L24" s="35"/>
    </row>
    <row r="25" spans="2:12">
      <c r="B25" s="370" t="s">
        <v>621</v>
      </c>
      <c r="C25" s="152" t="s">
        <v>128</v>
      </c>
      <c r="D25" s="347">
        <v>0</v>
      </c>
      <c r="E25" s="380">
        <v>0</v>
      </c>
      <c r="F25" s="380">
        <v>0</v>
      </c>
      <c r="G25" s="380">
        <v>0</v>
      </c>
      <c r="H25" s="380">
        <v>0</v>
      </c>
      <c r="I25" s="380">
        <v>0</v>
      </c>
      <c r="J25" s="380">
        <v>0</v>
      </c>
      <c r="K25" s="384">
        <v>0</v>
      </c>
      <c r="L25" s="35"/>
    </row>
    <row r="26" spans="2:12">
      <c r="B26" s="370" t="s">
        <v>622</v>
      </c>
      <c r="C26" s="152" t="s">
        <v>128</v>
      </c>
      <c r="D26" s="347">
        <v>0</v>
      </c>
      <c r="E26" s="380">
        <v>0</v>
      </c>
      <c r="F26" s="380">
        <v>0</v>
      </c>
      <c r="G26" s="380">
        <v>0</v>
      </c>
      <c r="H26" s="380">
        <v>0</v>
      </c>
      <c r="I26" s="380">
        <v>0</v>
      </c>
      <c r="J26" s="380">
        <v>0</v>
      </c>
      <c r="K26" s="384">
        <v>0</v>
      </c>
      <c r="L26" s="35"/>
    </row>
    <row r="27" spans="2:12">
      <c r="B27" s="370" t="s">
        <v>623</v>
      </c>
      <c r="C27" s="152" t="s">
        <v>128</v>
      </c>
      <c r="D27" s="381">
        <v>0</v>
      </c>
      <c r="E27" s="382">
        <v>0</v>
      </c>
      <c r="F27" s="382">
        <v>0</v>
      </c>
      <c r="G27" s="382">
        <v>0</v>
      </c>
      <c r="H27" s="382">
        <v>0</v>
      </c>
      <c r="I27" s="382">
        <v>0</v>
      </c>
      <c r="J27" s="382">
        <v>0</v>
      </c>
      <c r="K27" s="385">
        <v>0</v>
      </c>
      <c r="L27" s="35"/>
    </row>
    <row r="28" spans="2:12">
      <c r="B28" s="13" t="s">
        <v>19</v>
      </c>
      <c r="C28" s="152" t="s">
        <v>128</v>
      </c>
      <c r="D28" s="142">
        <f t="shared" ref="D28:K28" si="1">SUM(D8,D11:D27)</f>
        <v>41.399999999999991</v>
      </c>
      <c r="E28" s="143">
        <f t="shared" si="1"/>
        <v>41.1</v>
      </c>
      <c r="F28" s="143">
        <f t="shared" si="1"/>
        <v>40.199999999999989</v>
      </c>
      <c r="G28" s="143">
        <f t="shared" si="1"/>
        <v>40.175030369999995</v>
      </c>
      <c r="H28" s="143">
        <f t="shared" si="1"/>
        <v>42.162094950000011</v>
      </c>
      <c r="I28" s="143">
        <f t="shared" si="1"/>
        <v>38.317174300000005</v>
      </c>
      <c r="J28" s="143">
        <f t="shared" si="1"/>
        <v>39.237177810898039</v>
      </c>
      <c r="K28" s="144">
        <f t="shared" si="1"/>
        <v>37.094903609890181</v>
      </c>
      <c r="L28" s="35"/>
    </row>
    <row r="29" spans="2:12">
      <c r="B29" s="371" t="s">
        <v>524</v>
      </c>
      <c r="C29" s="152" t="s">
        <v>128</v>
      </c>
      <c r="D29" s="388"/>
      <c r="E29" s="389"/>
      <c r="F29" s="389"/>
      <c r="G29" s="683"/>
      <c r="H29" s="683"/>
      <c r="I29" s="683"/>
      <c r="J29" s="589">
        <v>0.81531819443271869</v>
      </c>
      <c r="K29" s="684">
        <v>3.2540257479193553</v>
      </c>
      <c r="L29" s="35"/>
    </row>
    <row r="30" spans="2:12">
      <c r="B30" s="346" t="s">
        <v>303</v>
      </c>
      <c r="C30" s="152" t="s">
        <v>128</v>
      </c>
      <c r="D30" s="142">
        <f>SUM(D28:D29)</f>
        <v>41.399999999999991</v>
      </c>
      <c r="E30" s="143">
        <f t="shared" ref="E30:K30" si="2">SUM(E28:E29)</f>
        <v>41.1</v>
      </c>
      <c r="F30" s="143">
        <f t="shared" si="2"/>
        <v>40.199999999999989</v>
      </c>
      <c r="G30" s="143">
        <f t="shared" si="2"/>
        <v>40.175030369999995</v>
      </c>
      <c r="H30" s="143">
        <f t="shared" si="2"/>
        <v>42.162094950000011</v>
      </c>
      <c r="I30" s="143">
        <f t="shared" si="2"/>
        <v>38.317174300000005</v>
      </c>
      <c r="J30" s="143">
        <f t="shared" si="2"/>
        <v>40.052496005330759</v>
      </c>
      <c r="K30" s="144">
        <f t="shared" si="2"/>
        <v>40.348929357809538</v>
      </c>
    </row>
    <row r="31" spans="2:12">
      <c r="B31" s="213" t="s">
        <v>21</v>
      </c>
      <c r="C31" s="152" t="s">
        <v>128</v>
      </c>
      <c r="D31" s="588">
        <v>17.412293179999999</v>
      </c>
      <c r="E31" s="589">
        <v>17.367734150000004</v>
      </c>
      <c r="F31" s="589">
        <v>17.389975660000001</v>
      </c>
      <c r="G31" s="589">
        <v>17.390249109999999</v>
      </c>
      <c r="H31" s="589">
        <v>17.41339017000001</v>
      </c>
      <c r="I31" s="589">
        <v>17.36882910000001</v>
      </c>
      <c r="J31" s="589">
        <v>17.36882910000001</v>
      </c>
      <c r="K31" s="684">
        <v>17.36882910000001</v>
      </c>
    </row>
    <row r="32" spans="2:12">
      <c r="B32" s="213" t="s">
        <v>456</v>
      </c>
      <c r="C32" s="152" t="s">
        <v>128</v>
      </c>
      <c r="D32" s="592">
        <v>23.987706819999993</v>
      </c>
      <c r="E32" s="593">
        <v>23.732265849999997</v>
      </c>
      <c r="F32" s="593">
        <v>22.810024339999988</v>
      </c>
      <c r="G32" s="593">
        <v>22.784781259999995</v>
      </c>
      <c r="H32" s="593">
        <v>24.748704780000001</v>
      </c>
      <c r="I32" s="593">
        <v>20.948345199999995</v>
      </c>
      <c r="J32" s="593">
        <v>22.68366690533075</v>
      </c>
      <c r="K32" s="685">
        <v>22.980100257809529</v>
      </c>
    </row>
    <row r="33" spans="2:14">
      <c r="B33" s="213"/>
      <c r="D33" s="226" t="s">
        <v>638</v>
      </c>
      <c r="E33" s="227" t="s">
        <v>638</v>
      </c>
      <c r="F33" s="227" t="s">
        <v>638</v>
      </c>
      <c r="G33" s="227" t="s">
        <v>638</v>
      </c>
      <c r="H33" s="227" t="s">
        <v>638</v>
      </c>
      <c r="I33" s="227" t="s">
        <v>638</v>
      </c>
      <c r="J33" s="227" t="s">
        <v>638</v>
      </c>
      <c r="K33" s="228" t="s">
        <v>638</v>
      </c>
    </row>
    <row r="34" spans="2:14">
      <c r="D34" s="23"/>
      <c r="E34" s="23"/>
      <c r="F34" s="23"/>
      <c r="G34" s="23"/>
      <c r="H34" s="23"/>
      <c r="I34" s="23"/>
      <c r="J34" s="23"/>
      <c r="K34" s="23"/>
    </row>
    <row r="35" spans="2:14">
      <c r="B35" s="213" t="s">
        <v>518</v>
      </c>
      <c r="C35" s="152" t="s">
        <v>128</v>
      </c>
      <c r="D35" s="588">
        <v>0</v>
      </c>
      <c r="E35" s="589">
        <v>0</v>
      </c>
      <c r="F35" s="589">
        <v>0</v>
      </c>
      <c r="G35" s="589">
        <v>0</v>
      </c>
      <c r="H35" s="589">
        <v>0</v>
      </c>
      <c r="I35" s="589">
        <v>0</v>
      </c>
      <c r="J35" s="589">
        <v>0</v>
      </c>
      <c r="K35" s="684">
        <v>0</v>
      </c>
    </row>
    <row r="36" spans="2:14">
      <c r="D36" s="23"/>
      <c r="E36" s="23"/>
      <c r="F36" s="23"/>
      <c r="G36" s="23"/>
      <c r="H36" s="23"/>
      <c r="I36" s="23"/>
      <c r="J36" s="23"/>
      <c r="K36" s="23"/>
    </row>
    <row r="37" spans="2:14">
      <c r="B37" s="213" t="s">
        <v>82</v>
      </c>
      <c r="C37" s="152" t="s">
        <v>128</v>
      </c>
      <c r="D37" s="885">
        <v>11.156748888637901</v>
      </c>
      <c r="E37" s="885">
        <v>22.641558248179795</v>
      </c>
      <c r="F37" s="885">
        <v>41.918966474459708</v>
      </c>
      <c r="G37" s="885">
        <v>37.832480684446935</v>
      </c>
      <c r="H37" s="885">
        <v>34.488099534781867</v>
      </c>
      <c r="I37" s="885">
        <v>16.888222342980438</v>
      </c>
      <c r="J37" s="885">
        <v>38.527979843680711</v>
      </c>
      <c r="K37" s="885">
        <v>46.559719925935674</v>
      </c>
      <c r="N37" s="322"/>
    </row>
    <row r="38" spans="2:14" s="31" customFormat="1">
      <c r="B38" s="212"/>
      <c r="C38" s="826"/>
      <c r="D38" s="828"/>
      <c r="E38" s="828"/>
      <c r="F38" s="828"/>
      <c r="G38" s="828"/>
      <c r="H38" s="828"/>
      <c r="I38" s="828"/>
      <c r="J38" s="828"/>
      <c r="K38" s="828"/>
      <c r="L38"/>
      <c r="M38"/>
      <c r="N38" s="827"/>
    </row>
    <row r="39" spans="2:14">
      <c r="B39" s="213" t="s">
        <v>470</v>
      </c>
      <c r="C39" s="152" t="s">
        <v>128</v>
      </c>
      <c r="D39" s="102">
        <f t="shared" ref="D39:K39" si="3">D30-D37</f>
        <v>30.243251111362092</v>
      </c>
      <c r="E39" s="102">
        <f t="shared" si="3"/>
        <v>18.458441751820207</v>
      </c>
      <c r="F39" s="102">
        <f t="shared" si="3"/>
        <v>-1.7189664744597195</v>
      </c>
      <c r="G39" s="102">
        <f t="shared" si="3"/>
        <v>2.3425496855530596</v>
      </c>
      <c r="H39" s="102">
        <f t="shared" si="3"/>
        <v>7.673995415218144</v>
      </c>
      <c r="I39" s="102">
        <f t="shared" si="3"/>
        <v>21.428951957019567</v>
      </c>
      <c r="J39" s="102">
        <f t="shared" si="3"/>
        <v>1.5245161616500482</v>
      </c>
      <c r="K39" s="102">
        <f t="shared" si="3"/>
        <v>-6.2107905681261357</v>
      </c>
    </row>
    <row r="40" spans="2:14">
      <c r="B40" s="213"/>
      <c r="C40" s="152"/>
      <c r="D40" s="152"/>
      <c r="E40" s="152"/>
      <c r="F40" s="152"/>
      <c r="G40" s="152"/>
      <c r="H40" s="152"/>
      <c r="I40" s="152"/>
      <c r="J40" s="152"/>
      <c r="K40" s="152"/>
      <c r="L40" s="152"/>
      <c r="N40" s="322"/>
    </row>
    <row r="41" spans="2:14">
      <c r="B41" s="855" t="s">
        <v>360</v>
      </c>
      <c r="C41" s="152" t="s">
        <v>127</v>
      </c>
      <c r="D41" s="506">
        <f>Data!C34</f>
        <v>1.0603167467048125</v>
      </c>
      <c r="E41" s="506">
        <f>Data!D34</f>
        <v>1.0830366813119445</v>
      </c>
      <c r="F41" s="506">
        <f>Data!E34</f>
        <v>1.1235639113109226</v>
      </c>
      <c r="G41" s="506">
        <f>Data!F34</f>
        <v>1.1578951670583426</v>
      </c>
      <c r="H41" s="506">
        <f>Data!G34</f>
        <v>1.1878696229692449</v>
      </c>
      <c r="I41" s="506">
        <f>Data!H34</f>
        <v>1.202275126868976</v>
      </c>
      <c r="J41" s="506">
        <f>Data!I34</f>
        <v>1.2341354177310038</v>
      </c>
      <c r="K41" s="506">
        <f>Data!J34</f>
        <v>1.2720850818262321</v>
      </c>
      <c r="L41" s="152"/>
      <c r="N41" s="322"/>
    </row>
    <row r="42" spans="2:14">
      <c r="L42" s="155"/>
      <c r="M42" s="155"/>
      <c r="N42" s="155"/>
    </row>
    <row r="43" spans="2:14">
      <c r="B43" s="837" t="s">
        <v>416</v>
      </c>
      <c r="C43" s="156" t="str">
        <f>'RFPR cover'!$C$14</f>
        <v>£m 12/13</v>
      </c>
      <c r="D43" s="145">
        <f t="shared" ref="D43:K43" si="4">D39/D41</f>
        <v>28.52284584332957</v>
      </c>
      <c r="E43" s="146">
        <f t="shared" si="4"/>
        <v>17.043228609265974</v>
      </c>
      <c r="F43" s="146">
        <f t="shared" si="4"/>
        <v>-1.5299231820770289</v>
      </c>
      <c r="G43" s="146">
        <f t="shared" si="4"/>
        <v>2.0231103403811219</v>
      </c>
      <c r="H43" s="146">
        <f t="shared" si="4"/>
        <v>6.4603010859356162</v>
      </c>
      <c r="I43" s="146">
        <f t="shared" si="4"/>
        <v>17.823667377055283</v>
      </c>
      <c r="J43" s="146">
        <f t="shared" si="4"/>
        <v>1.2352908276896537</v>
      </c>
      <c r="K43" s="147">
        <f t="shared" si="4"/>
        <v>-4.8823704144142575</v>
      </c>
      <c r="L43" s="691">
        <f>SUM(D43:INDEX(D43:K43,0,MATCH('RFPR cover'!$C$7,$D$6:$K$6,0)))</f>
        <v>70.343230073890538</v>
      </c>
      <c r="M43" s="692">
        <f>SUM(D43:K43)</f>
        <v>66.696150487165937</v>
      </c>
    </row>
    <row r="44" spans="2:14">
      <c r="B44" s="213"/>
      <c r="C44" s="66"/>
      <c r="D44" s="809"/>
      <c r="E44" s="809"/>
      <c r="F44" s="809"/>
      <c r="G44" s="809"/>
      <c r="H44" s="809"/>
      <c r="I44" s="809"/>
      <c r="J44" s="809"/>
      <c r="K44" s="809"/>
      <c r="L44" s="832"/>
      <c r="M44" s="832"/>
    </row>
    <row r="45" spans="2:14">
      <c r="B45" s="837" t="s">
        <v>506</v>
      </c>
      <c r="C45" s="152"/>
      <c r="D45" s="809"/>
      <c r="E45" s="809"/>
      <c r="F45" s="809"/>
      <c r="G45" s="809"/>
      <c r="H45" s="809"/>
      <c r="I45" s="809"/>
      <c r="J45" s="809"/>
      <c r="K45" s="809"/>
      <c r="L45" s="832"/>
      <c r="M45" s="832"/>
    </row>
    <row r="46" spans="2:14">
      <c r="B46" s="370" t="s">
        <v>491</v>
      </c>
      <c r="C46" s="152" t="s">
        <v>128</v>
      </c>
      <c r="D46" s="884">
        <v>0</v>
      </c>
      <c r="E46" s="884">
        <v>0</v>
      </c>
      <c r="F46" s="884">
        <v>0</v>
      </c>
      <c r="G46" s="884">
        <v>0</v>
      </c>
      <c r="H46" s="884">
        <v>0</v>
      </c>
      <c r="I46" s="884">
        <v>0</v>
      </c>
      <c r="J46" s="884">
        <v>0</v>
      </c>
      <c r="K46" s="884">
        <v>0</v>
      </c>
      <c r="L46" s="691">
        <v>0</v>
      </c>
      <c r="M46" s="691">
        <v>0</v>
      </c>
    </row>
    <row r="47" spans="2:14">
      <c r="B47" s="370" t="s">
        <v>527</v>
      </c>
      <c r="C47" s="152" t="s">
        <v>128</v>
      </c>
      <c r="D47" s="388"/>
      <c r="E47" s="389"/>
      <c r="F47" s="389"/>
      <c r="G47" s="683"/>
      <c r="H47" s="683"/>
      <c r="I47" s="683"/>
      <c r="J47" s="683">
        <v>0</v>
      </c>
      <c r="K47" s="683">
        <v>0</v>
      </c>
      <c r="L47" s="691">
        <v>0</v>
      </c>
      <c r="M47" s="691">
        <v>0</v>
      </c>
    </row>
    <row r="48" spans="2:14">
      <c r="B48" s="370" t="s">
        <v>509</v>
      </c>
      <c r="C48" s="152" t="s">
        <v>128</v>
      </c>
      <c r="D48" s="884">
        <v>0</v>
      </c>
      <c r="E48" s="884">
        <v>0</v>
      </c>
      <c r="F48" s="884">
        <v>0</v>
      </c>
      <c r="G48" s="884">
        <v>0</v>
      </c>
      <c r="H48" s="884">
        <v>0</v>
      </c>
      <c r="I48" s="884">
        <v>0</v>
      </c>
      <c r="J48" s="884">
        <v>0</v>
      </c>
      <c r="K48" s="884">
        <v>0</v>
      </c>
      <c r="L48" s="691">
        <v>0</v>
      </c>
      <c r="M48" s="691">
        <v>0</v>
      </c>
    </row>
    <row r="49" spans="1:14">
      <c r="B49" s="370" t="s">
        <v>510</v>
      </c>
      <c r="C49" s="152" t="s">
        <v>128</v>
      </c>
      <c r="D49" s="884">
        <v>0</v>
      </c>
      <c r="E49" s="884">
        <v>0</v>
      </c>
      <c r="F49" s="884">
        <v>0</v>
      </c>
      <c r="G49" s="884">
        <v>0</v>
      </c>
      <c r="H49" s="884">
        <v>0</v>
      </c>
      <c r="I49" s="884">
        <v>0</v>
      </c>
      <c r="J49" s="884">
        <v>0</v>
      </c>
      <c r="K49" s="884">
        <v>0</v>
      </c>
      <c r="L49" s="691">
        <v>0</v>
      </c>
      <c r="M49" s="691">
        <v>0</v>
      </c>
    </row>
    <row r="50" spans="1:14">
      <c r="B50" s="370" t="s">
        <v>624</v>
      </c>
      <c r="C50" s="152" t="s">
        <v>128</v>
      </c>
      <c r="D50" s="884">
        <v>0</v>
      </c>
      <c r="E50" s="884">
        <v>0</v>
      </c>
      <c r="F50" s="884">
        <v>0</v>
      </c>
      <c r="G50" s="884">
        <v>0</v>
      </c>
      <c r="H50" s="884">
        <v>0</v>
      </c>
      <c r="I50" s="884">
        <v>0</v>
      </c>
      <c r="J50" s="884">
        <v>0</v>
      </c>
      <c r="K50" s="884">
        <v>0</v>
      </c>
      <c r="L50" s="691">
        <v>0</v>
      </c>
      <c r="M50" s="691">
        <v>0</v>
      </c>
    </row>
    <row r="51" spans="1:14">
      <c r="B51" s="370" t="s">
        <v>624</v>
      </c>
      <c r="C51" s="152" t="s">
        <v>128</v>
      </c>
      <c r="D51" s="884">
        <v>0</v>
      </c>
      <c r="E51" s="884">
        <v>0</v>
      </c>
      <c r="F51" s="884">
        <v>0</v>
      </c>
      <c r="G51" s="884">
        <v>0</v>
      </c>
      <c r="H51" s="884">
        <v>0</v>
      </c>
      <c r="I51" s="884">
        <v>0</v>
      </c>
      <c r="J51" s="884">
        <v>0</v>
      </c>
      <c r="K51" s="884">
        <v>0</v>
      </c>
      <c r="L51" s="691">
        <v>0</v>
      </c>
      <c r="M51" s="691">
        <v>0</v>
      </c>
    </row>
    <row r="52" spans="1:14">
      <c r="B52" s="370" t="s">
        <v>624</v>
      </c>
      <c r="C52" s="152" t="s">
        <v>128</v>
      </c>
      <c r="D52" s="884">
        <v>0</v>
      </c>
      <c r="E52" s="884">
        <v>0</v>
      </c>
      <c r="F52" s="884">
        <v>0</v>
      </c>
      <c r="G52" s="884">
        <v>0</v>
      </c>
      <c r="H52" s="884">
        <v>0</v>
      </c>
      <c r="I52" s="884">
        <v>0</v>
      </c>
      <c r="J52" s="884">
        <v>0</v>
      </c>
      <c r="K52" s="884">
        <v>0</v>
      </c>
      <c r="L52" s="691">
        <v>0</v>
      </c>
      <c r="M52" s="691">
        <v>0</v>
      </c>
    </row>
    <row r="53" spans="1:14">
      <c r="B53" s="370" t="s">
        <v>624</v>
      </c>
      <c r="C53" s="152" t="s">
        <v>128</v>
      </c>
      <c r="D53" s="884">
        <v>0</v>
      </c>
      <c r="E53" s="884">
        <v>0</v>
      </c>
      <c r="F53" s="884">
        <v>0</v>
      </c>
      <c r="G53" s="884">
        <v>0</v>
      </c>
      <c r="H53" s="884">
        <v>0</v>
      </c>
      <c r="I53" s="884">
        <v>0</v>
      </c>
      <c r="J53" s="884">
        <v>0</v>
      </c>
      <c r="K53" s="884">
        <v>0</v>
      </c>
      <c r="L53" s="691">
        <v>0</v>
      </c>
      <c r="M53" s="691">
        <v>0</v>
      </c>
    </row>
    <row r="54" spans="1:14" s="867" customFormat="1">
      <c r="B54" s="866"/>
      <c r="C54" s="868"/>
      <c r="D54" s="869"/>
      <c r="E54" s="869"/>
      <c r="F54" s="869"/>
      <c r="G54" s="869"/>
      <c r="H54" s="869"/>
      <c r="I54" s="869"/>
      <c r="J54" s="869"/>
      <c r="K54" s="869"/>
      <c r="L54" s="870"/>
      <c r="M54" s="870"/>
    </row>
    <row r="55" spans="1:14">
      <c r="B55" s="861" t="s">
        <v>507</v>
      </c>
      <c r="C55" s="235" t="s">
        <v>128</v>
      </c>
      <c r="D55" s="145">
        <v>0</v>
      </c>
      <c r="E55" s="145">
        <v>0</v>
      </c>
      <c r="F55" s="145">
        <v>0</v>
      </c>
      <c r="G55" s="145">
        <v>0</v>
      </c>
      <c r="H55" s="145">
        <v>0</v>
      </c>
      <c r="I55" s="145">
        <v>0</v>
      </c>
      <c r="J55" s="145">
        <v>0</v>
      </c>
      <c r="K55" s="145">
        <v>0</v>
      </c>
      <c r="L55" s="691">
        <v>0</v>
      </c>
      <c r="M55" s="692">
        <v>0</v>
      </c>
    </row>
    <row r="56" spans="1:14">
      <c r="B56" s="861" t="s">
        <v>507</v>
      </c>
      <c r="C56" s="156" t="str">
        <f>'RFPR cover'!$C$14</f>
        <v>£m 12/13</v>
      </c>
      <c r="D56" s="145">
        <v>0</v>
      </c>
      <c r="E56" s="145">
        <v>0</v>
      </c>
      <c r="F56" s="145">
        <v>0</v>
      </c>
      <c r="G56" s="145">
        <v>0</v>
      </c>
      <c r="H56" s="145">
        <v>0</v>
      </c>
      <c r="I56" s="145">
        <v>0</v>
      </c>
      <c r="J56" s="145">
        <v>0</v>
      </c>
      <c r="K56" s="145">
        <v>0</v>
      </c>
      <c r="L56" s="691">
        <v>0</v>
      </c>
      <c r="M56" s="692">
        <v>0</v>
      </c>
    </row>
    <row r="57" spans="1:14">
      <c r="B57" s="213"/>
      <c r="C57" s="66"/>
      <c r="D57" s="809"/>
      <c r="E57" s="809"/>
      <c r="F57" s="809"/>
      <c r="G57" s="809"/>
      <c r="H57" s="809"/>
      <c r="I57" s="809"/>
      <c r="J57" s="809"/>
      <c r="K57" s="809"/>
      <c r="L57" s="832"/>
      <c r="M57" s="832"/>
    </row>
    <row r="58" spans="1:14" s="2" customFormat="1">
      <c r="A58" s="1"/>
    </row>
    <row r="59" spans="1:14" s="2" customFormat="1">
      <c r="A59" s="1"/>
      <c r="B59" s="833" t="s">
        <v>426</v>
      </c>
      <c r="C59" s="81"/>
      <c r="D59" s="81"/>
      <c r="E59" s="81"/>
      <c r="F59" s="81"/>
      <c r="G59" s="81"/>
      <c r="H59" s="81"/>
      <c r="I59" s="81"/>
      <c r="J59" s="81"/>
      <c r="K59" s="81"/>
      <c r="L59" s="81"/>
      <c r="M59" s="81"/>
      <c r="N59" s="81"/>
    </row>
    <row r="60" spans="1:14" s="2" customFormat="1">
      <c r="A60" s="1"/>
      <c r="B60" s="369" t="s">
        <v>427</v>
      </c>
    </row>
    <row r="61" spans="1:14" s="2" customFormat="1">
      <c r="A61" s="1"/>
    </row>
    <row r="62" spans="1:14" s="31" customFormat="1">
      <c r="B62" s="213" t="s">
        <v>115</v>
      </c>
      <c r="C62" s="155" t="s">
        <v>7</v>
      </c>
      <c r="D62" s="893">
        <f>'RFPR cover'!$C$12</f>
        <v>0.65</v>
      </c>
      <c r="E62" s="894">
        <f>'RFPR cover'!$C$12</f>
        <v>0.65</v>
      </c>
      <c r="F62" s="894">
        <f>'RFPR cover'!$C$12</f>
        <v>0.65</v>
      </c>
      <c r="G62" s="894">
        <f>'RFPR cover'!$C$12</f>
        <v>0.65</v>
      </c>
      <c r="H62" s="894">
        <f>'RFPR cover'!$C$12</f>
        <v>0.65</v>
      </c>
      <c r="I62" s="894">
        <f>'RFPR cover'!$C$12</f>
        <v>0.65</v>
      </c>
      <c r="J62" s="894">
        <f>'RFPR cover'!$C$12</f>
        <v>0.65</v>
      </c>
      <c r="K62" s="895">
        <f>'RFPR cover'!$C$12</f>
        <v>0.65</v>
      </c>
      <c r="N62" s="827"/>
    </row>
    <row r="63" spans="1:14" s="31" customFormat="1">
      <c r="B63" s="213" t="s">
        <v>389</v>
      </c>
      <c r="C63" s="155" t="s">
        <v>7</v>
      </c>
      <c r="D63" s="894">
        <f>'R8 - Net Debt'!D64</f>
        <v>0.63015417557932418</v>
      </c>
      <c r="E63" s="894">
        <f>'R8 - Net Debt'!E64</f>
        <v>0.60794137636101053</v>
      </c>
      <c r="F63" s="894">
        <f>'R8 - Net Debt'!F64</f>
        <v>0.60357895101907866</v>
      </c>
      <c r="G63" s="894">
        <f>'R8 - Net Debt'!G64</f>
        <v>0.62640691071720378</v>
      </c>
      <c r="H63" s="894">
        <f>'R8 - Net Debt'!H64</f>
        <v>0.64189636573043363</v>
      </c>
      <c r="I63" s="894">
        <f>'R8 - Net Debt'!I64</f>
        <v>0.647480644916819</v>
      </c>
      <c r="J63" s="894">
        <f>'R8 - Net Debt'!J64</f>
        <v>0.65174317905109003</v>
      </c>
      <c r="K63" s="895">
        <f>'R8 - Net Debt'!K64</f>
        <v>0.65135635135201975</v>
      </c>
      <c r="N63" s="827"/>
    </row>
    <row r="64" spans="1:14" s="31" customFormat="1">
      <c r="B64" s="213"/>
      <c r="C64" s="155"/>
      <c r="D64" s="155"/>
      <c r="E64" s="155"/>
      <c r="F64" s="155"/>
      <c r="G64" s="155"/>
      <c r="H64" s="155"/>
      <c r="I64" s="155"/>
      <c r="J64" s="155"/>
      <c r="K64" s="155"/>
      <c r="N64" s="827"/>
    </row>
    <row r="65" spans="2:15">
      <c r="B65" s="213" t="s">
        <v>416</v>
      </c>
      <c r="C65" s="152" t="s">
        <v>128</v>
      </c>
      <c r="D65" s="95">
        <f t="shared" ref="D65:K65" si="5">D39</f>
        <v>30.243251111362092</v>
      </c>
      <c r="E65" s="96">
        <f t="shared" si="5"/>
        <v>18.458441751820207</v>
      </c>
      <c r="F65" s="96">
        <f t="shared" si="5"/>
        <v>-1.7189664744597195</v>
      </c>
      <c r="G65" s="96">
        <f t="shared" si="5"/>
        <v>2.3425496855530596</v>
      </c>
      <c r="H65" s="96">
        <f t="shared" si="5"/>
        <v>7.673995415218144</v>
      </c>
      <c r="I65" s="96">
        <f t="shared" si="5"/>
        <v>21.428951957019567</v>
      </c>
      <c r="J65" s="96">
        <f t="shared" si="5"/>
        <v>1.5245161616500482</v>
      </c>
      <c r="K65" s="97">
        <f t="shared" si="5"/>
        <v>-6.2107905681261357</v>
      </c>
      <c r="L65" s="31"/>
      <c r="M65" s="31"/>
    </row>
    <row r="66" spans="2:15" s="31" customFormat="1">
      <c r="B66" s="213" t="s">
        <v>434</v>
      </c>
      <c r="C66" s="152" t="s">
        <v>128</v>
      </c>
      <c r="D66" s="95">
        <f>((D62-D63)/D63)*D65</f>
        <v>0.95246889527426082</v>
      </c>
      <c r="E66" s="95">
        <f t="shared" ref="E66:K66" si="6">((E62-E63)/E63)*E65</f>
        <v>1.276992625915641</v>
      </c>
      <c r="F66" s="95">
        <f t="shared" si="6"/>
        <v>-0.13220511877150276</v>
      </c>
      <c r="G66" s="95">
        <f t="shared" si="6"/>
        <v>8.8230163069817666E-2</v>
      </c>
      <c r="H66" s="95">
        <f t="shared" si="6"/>
        <v>9.6880517714868761E-2</v>
      </c>
      <c r="I66" s="95">
        <f t="shared" si="6"/>
        <v>8.3380313317465635E-2</v>
      </c>
      <c r="J66" s="95">
        <f t="shared" si="6"/>
        <v>-4.0775334847473503E-3</v>
      </c>
      <c r="K66" s="95">
        <f t="shared" si="6"/>
        <v>1.2933034531257E-2</v>
      </c>
      <c r="N66" s="827"/>
    </row>
    <row r="67" spans="2:15">
      <c r="B67" s="213" t="s">
        <v>433</v>
      </c>
      <c r="C67" s="152" t="s">
        <v>128</v>
      </c>
      <c r="D67" s="102">
        <f>SUM(D65:D66)</f>
        <v>31.195720006636353</v>
      </c>
      <c r="E67" s="103">
        <f t="shared" ref="E67:K67" si="7">SUM(E65:E66)</f>
        <v>19.735434377735849</v>
      </c>
      <c r="F67" s="103">
        <f t="shared" si="7"/>
        <v>-1.8511715932312223</v>
      </c>
      <c r="G67" s="103">
        <f t="shared" si="7"/>
        <v>2.4307798486228771</v>
      </c>
      <c r="H67" s="103">
        <f t="shared" si="7"/>
        <v>7.7708759329330128</v>
      </c>
      <c r="I67" s="103">
        <f t="shared" si="7"/>
        <v>21.512332270337033</v>
      </c>
      <c r="J67" s="103">
        <f t="shared" si="7"/>
        <v>1.5204386281653008</v>
      </c>
      <c r="K67" s="104">
        <f t="shared" si="7"/>
        <v>-6.1978575335948785</v>
      </c>
      <c r="L67" s="31"/>
      <c r="M67" s="31"/>
    </row>
    <row r="68" spans="2:15">
      <c r="B68" s="213"/>
      <c r="C68" s="152"/>
      <c r="D68" s="152"/>
      <c r="E68" s="152"/>
      <c r="F68" s="152"/>
      <c r="G68" s="152"/>
      <c r="H68" s="152"/>
      <c r="I68" s="152"/>
      <c r="J68" s="152"/>
      <c r="K68" s="152"/>
      <c r="L68" s="152"/>
      <c r="M68" s="152"/>
      <c r="N68" s="152"/>
      <c r="O68" s="152"/>
    </row>
    <row r="69" spans="2:15">
      <c r="B69" s="837" t="s">
        <v>433</v>
      </c>
      <c r="C69" s="156" t="str">
        <f>'RFPR cover'!$C$14</f>
        <v>£m 12/13</v>
      </c>
      <c r="D69" s="145">
        <f t="shared" ref="D69:K69" si="8">D67/D41</f>
        <v>29.421132980861149</v>
      </c>
      <c r="E69" s="146">
        <f t="shared" si="8"/>
        <v>18.222313905221736</v>
      </c>
      <c r="F69" s="146">
        <f t="shared" si="8"/>
        <v>-1.6475890464222551</v>
      </c>
      <c r="G69" s="146">
        <f t="shared" si="8"/>
        <v>2.0993090892661077</v>
      </c>
      <c r="H69" s="146">
        <f t="shared" si="8"/>
        <v>6.5418592938748867</v>
      </c>
      <c r="I69" s="146">
        <f t="shared" si="8"/>
        <v>17.893019484118003</v>
      </c>
      <c r="J69" s="146">
        <f t="shared" si="8"/>
        <v>1.2319868681515311</v>
      </c>
      <c r="K69" s="147">
        <f t="shared" si="8"/>
        <v>-4.8722036144760876</v>
      </c>
      <c r="L69" s="691">
        <f>SUM(D69:INDEX(D69:K69,0,MATCH('RFPR cover'!$C$7,$D$6:$K$6,0)))</f>
        <v>72.530045706919623</v>
      </c>
      <c r="M69" s="692">
        <f>SUM(D69:K69)</f>
        <v>68.889828960595068</v>
      </c>
    </row>
    <row r="70" spans="2:15">
      <c r="B70" s="372" t="s">
        <v>508</v>
      </c>
      <c r="C70" s="159" t="str">
        <f>'RFPR cover'!$C$14</f>
        <v>£m 12/13</v>
      </c>
      <c r="D70" s="95">
        <f>D56*((D62-D63)/D63)+D56</f>
        <v>0</v>
      </c>
      <c r="E70" s="95">
        <f t="shared" ref="E70:K70" si="9">E56*((E62-E63)/E63)+E56</f>
        <v>0</v>
      </c>
      <c r="F70" s="95">
        <f t="shared" si="9"/>
        <v>0</v>
      </c>
      <c r="G70" s="95">
        <f t="shared" si="9"/>
        <v>0</v>
      </c>
      <c r="H70" s="95">
        <f t="shared" si="9"/>
        <v>0</v>
      </c>
      <c r="I70" s="95">
        <f t="shared" si="9"/>
        <v>0</v>
      </c>
      <c r="J70" s="95">
        <f t="shared" si="9"/>
        <v>0</v>
      </c>
      <c r="K70" s="95">
        <f t="shared" si="9"/>
        <v>0</v>
      </c>
      <c r="L70" s="687">
        <f>SUM(D70:INDEX(D70:K70,0,MATCH('RFPR cover'!$C$7,$D$6:$K$6,0)))</f>
        <v>0</v>
      </c>
      <c r="M70" s="688">
        <f>SUM(D70:K70)</f>
        <v>0</v>
      </c>
      <c r="N70" s="155"/>
    </row>
    <row r="72" spans="2:15">
      <c r="B72" s="829" t="s">
        <v>316</v>
      </c>
      <c r="C72" s="830"/>
      <c r="D72" s="830"/>
      <c r="E72" s="830"/>
      <c r="F72" s="830"/>
      <c r="G72" s="830"/>
      <c r="H72" s="830"/>
      <c r="I72" s="830"/>
      <c r="J72" s="830"/>
      <c r="K72" s="830"/>
      <c r="L72" s="830"/>
      <c r="M72" s="830"/>
      <c r="N72" s="830"/>
      <c r="O72" s="155"/>
    </row>
    <row r="73" spans="2:15" s="31" customFormat="1">
      <c r="B73" s="831"/>
      <c r="C73" s="66"/>
      <c r="D73" s="66"/>
      <c r="E73" s="66"/>
      <c r="F73" s="66"/>
      <c r="G73" s="66"/>
      <c r="H73" s="66"/>
      <c r="I73" s="66"/>
      <c r="J73" s="66"/>
      <c r="K73" s="66"/>
      <c r="L73" s="66"/>
      <c r="M73" s="66"/>
      <c r="N73" s="66"/>
      <c r="O73" s="66"/>
    </row>
    <row r="74" spans="2:15">
      <c r="B74" s="369" t="s">
        <v>463</v>
      </c>
      <c r="C74" s="368"/>
      <c r="D74" s="368"/>
      <c r="E74" s="368"/>
      <c r="F74" s="368"/>
      <c r="G74" s="368"/>
      <c r="H74" s="368"/>
      <c r="I74" s="368"/>
      <c r="J74" s="368"/>
      <c r="K74" s="368"/>
      <c r="L74" s="368"/>
      <c r="M74" s="368"/>
      <c r="N74" s="368"/>
      <c r="O74" s="155"/>
    </row>
    <row r="75" spans="2:15">
      <c r="B75" s="369" t="s">
        <v>345</v>
      </c>
      <c r="C75" s="368"/>
      <c r="D75" s="368"/>
      <c r="E75" s="368"/>
      <c r="F75" s="368"/>
      <c r="G75" s="368"/>
      <c r="H75" s="368"/>
      <c r="I75" s="368"/>
      <c r="J75" s="368"/>
      <c r="K75" s="368"/>
      <c r="L75" s="368"/>
      <c r="M75" s="368"/>
      <c r="N75" s="368"/>
      <c r="O75" s="155"/>
    </row>
    <row r="76" spans="2:15">
      <c r="B76" s="369" t="s">
        <v>346</v>
      </c>
      <c r="C76" s="368"/>
      <c r="D76" s="368"/>
      <c r="E76" s="368"/>
      <c r="F76" s="368"/>
      <c r="G76" s="368"/>
      <c r="H76" s="368"/>
      <c r="I76" s="368"/>
      <c r="J76" s="368"/>
      <c r="K76" s="368"/>
      <c r="L76" s="368"/>
      <c r="M76" s="368"/>
      <c r="N76" s="368"/>
      <c r="O76" s="155"/>
    </row>
    <row r="77" spans="2:15">
      <c r="B77" s="369" t="s">
        <v>514</v>
      </c>
      <c r="C77" s="368"/>
      <c r="D77" s="368"/>
      <c r="E77" s="368"/>
      <c r="F77" s="368"/>
      <c r="G77" s="368"/>
      <c r="H77" s="368"/>
      <c r="I77" s="368"/>
      <c r="J77" s="368"/>
      <c r="K77" s="368"/>
      <c r="L77" s="368"/>
      <c r="M77" s="368"/>
      <c r="N77" s="368"/>
      <c r="O77" s="155"/>
    </row>
    <row r="78" spans="2:15" s="31" customFormat="1">
      <c r="B78" s="373"/>
      <c r="C78" s="373"/>
      <c r="D78" s="373"/>
      <c r="E78" s="373"/>
      <c r="F78" s="373"/>
      <c r="G78" s="373"/>
      <c r="H78" s="373"/>
      <c r="I78" s="373"/>
      <c r="J78" s="373"/>
      <c r="K78" s="373"/>
      <c r="L78" s="373"/>
      <c r="M78" s="373"/>
      <c r="N78" s="373"/>
      <c r="O78" s="66"/>
    </row>
    <row r="79" spans="2:15">
      <c r="B79" s="372" t="s">
        <v>232</v>
      </c>
      <c r="C79" s="155" t="str">
        <f>'RFPR cover'!$C$14</f>
        <v>£m 12/13</v>
      </c>
      <c r="D79" s="599">
        <v>25.24306692398137</v>
      </c>
      <c r="E79" s="599">
        <v>24.811477720801474</v>
      </c>
      <c r="F79" s="599">
        <v>24.236897008098854</v>
      </c>
      <c r="G79" s="599">
        <v>22.699143788791091</v>
      </c>
      <c r="H79" s="599">
        <v>21.509291957792971</v>
      </c>
      <c r="I79" s="599">
        <v>20.052208215411714</v>
      </c>
      <c r="J79" s="902">
        <v>18.498414535206546</v>
      </c>
      <c r="K79" s="905"/>
      <c r="L79" s="903"/>
      <c r="M79" s="903"/>
      <c r="O79" s="66"/>
    </row>
    <row r="80" spans="2:15">
      <c r="B80" s="372" t="s">
        <v>315</v>
      </c>
      <c r="C80" s="155" t="str">
        <f>'RFPR cover'!$C$14</f>
        <v>£m 12/13</v>
      </c>
      <c r="D80" s="689">
        <f>'R9 - RAV'!D49</f>
        <v>25.213452043816289</v>
      </c>
      <c r="E80" s="690">
        <f>'R9 - RAV'!E49</f>
        <v>24.729436053908124</v>
      </c>
      <c r="F80" s="690">
        <f>'R9 - RAV'!F49</f>
        <v>24.18706398172883</v>
      </c>
      <c r="G80" s="690">
        <f>'R9 - RAV'!G49</f>
        <v>22.829790569281027</v>
      </c>
      <c r="H80" s="690">
        <f>'R9 - RAV'!H49</f>
        <v>21.745789891493754</v>
      </c>
      <c r="I80" s="690">
        <f>'R9 - RAV'!I49</f>
        <v>20.255608124819883</v>
      </c>
      <c r="J80" s="690">
        <f>'R9 - RAV'!J49</f>
        <v>18.677426077983664</v>
      </c>
      <c r="K80" s="904">
        <f>'R9 - RAV'!K49</f>
        <v>17.176595427714819</v>
      </c>
      <c r="L80" s="906">
        <f>SUM(D80:INDEX(D80:K80,0,MATCH('RFPR cover'!$C$7,$D$6:$K$6,0)))</f>
        <v>138.96114066504791</v>
      </c>
      <c r="M80" s="906">
        <f>SUM(D80:K80)</f>
        <v>174.81516217074639</v>
      </c>
      <c r="O80" s="66"/>
    </row>
    <row r="81" spans="2:15" s="31" customFormat="1">
      <c r="B81" s="834"/>
      <c r="C81" s="66"/>
      <c r="D81" s="835"/>
      <c r="E81" s="835"/>
      <c r="F81" s="835"/>
      <c r="G81" s="835"/>
      <c r="H81" s="835"/>
      <c r="I81" s="835"/>
      <c r="J81" s="835"/>
      <c r="K81" s="835"/>
      <c r="L81" s="832"/>
      <c r="M81" s="832"/>
      <c r="O81" s="66"/>
    </row>
    <row r="82" spans="2:15" s="31" customFormat="1">
      <c r="B82" s="834"/>
      <c r="C82" s="66"/>
      <c r="D82" s="835"/>
      <c r="E82" s="836"/>
      <c r="F82" s="836"/>
      <c r="G82" s="836"/>
      <c r="H82" s="836"/>
      <c r="I82" s="836"/>
      <c r="J82" s="836"/>
      <c r="K82" s="836"/>
      <c r="L82" s="832"/>
      <c r="M82" s="832"/>
      <c r="O82" s="66"/>
    </row>
    <row r="83" spans="2:15">
      <c r="B83" s="838" t="s">
        <v>417</v>
      </c>
      <c r="C83" s="830"/>
      <c r="D83" s="830"/>
      <c r="E83" s="830"/>
      <c r="F83" s="830"/>
      <c r="G83" s="830"/>
      <c r="H83" s="830"/>
      <c r="I83" s="830"/>
      <c r="J83" s="830"/>
      <c r="K83" s="830"/>
      <c r="L83" s="830"/>
      <c r="M83" s="830"/>
      <c r="N83" s="830"/>
    </row>
    <row r="84" spans="2:15">
      <c r="B84" s="372"/>
      <c r="C84" s="155"/>
      <c r="D84" s="155"/>
      <c r="E84" s="155"/>
      <c r="F84" s="155"/>
      <c r="G84" s="155"/>
      <c r="H84" s="155"/>
      <c r="I84" s="155"/>
      <c r="J84" s="155"/>
      <c r="K84" s="155"/>
      <c r="L84" s="155"/>
      <c r="M84" s="155"/>
      <c r="N84" s="155"/>
    </row>
    <row r="85" spans="2:15">
      <c r="B85" s="856" t="s">
        <v>471</v>
      </c>
      <c r="C85" s="155"/>
      <c r="D85" s="155"/>
      <c r="E85" s="155"/>
      <c r="F85" s="155"/>
      <c r="G85" s="155"/>
      <c r="H85" s="155"/>
      <c r="I85" s="155"/>
      <c r="J85" s="155"/>
      <c r="K85" s="155"/>
      <c r="L85" s="155"/>
      <c r="M85" s="155"/>
      <c r="N85" s="155"/>
    </row>
    <row r="86" spans="2:15">
      <c r="B86" s="213" t="s">
        <v>472</v>
      </c>
      <c r="C86" s="155" t="str">
        <f>'RFPR cover'!$C$14</f>
        <v>£m 12/13</v>
      </c>
      <c r="D86" s="145">
        <f>D80-D43-D56</f>
        <v>-3.3093937995132805</v>
      </c>
      <c r="E86" s="145">
        <f t="shared" ref="E86:K86" si="10">E80-E43-E56</f>
        <v>7.6862074446421502</v>
      </c>
      <c r="F86" s="145">
        <f t="shared" si="10"/>
        <v>25.716987163805857</v>
      </c>
      <c r="G86" s="145">
        <f t="shared" si="10"/>
        <v>20.806680228899904</v>
      </c>
      <c r="H86" s="145">
        <f t="shared" si="10"/>
        <v>15.285488805558138</v>
      </c>
      <c r="I86" s="145">
        <f t="shared" si="10"/>
        <v>2.4319407477645996</v>
      </c>
      <c r="J86" s="145">
        <f t="shared" si="10"/>
        <v>17.442135250294012</v>
      </c>
      <c r="K86" s="145">
        <f t="shared" si="10"/>
        <v>22.058965842129076</v>
      </c>
      <c r="L86" s="691">
        <f>SUM(D86:INDEX(D86:K86,0,MATCH('RFPR cover'!$C$7,$D$6:$K$6,0)))</f>
        <v>68.617910591157369</v>
      </c>
      <c r="M86" s="692">
        <f>SUM(D86:K86)</f>
        <v>108.11901168358045</v>
      </c>
    </row>
    <row r="87" spans="2:15">
      <c r="B87" s="213"/>
    </row>
    <row r="88" spans="2:15">
      <c r="B88" s="213" t="s">
        <v>473</v>
      </c>
      <c r="C88" s="155" t="str">
        <f>'RFPR cover'!$C$14</f>
        <v>£m 12/13</v>
      </c>
      <c r="D88" s="145">
        <f>D80-D69-D70</f>
        <v>-4.2076809370448593</v>
      </c>
      <c r="E88" s="145">
        <f t="shared" ref="E88:K88" si="11">E80-E69-E70</f>
        <v>6.5071221486863884</v>
      </c>
      <c r="F88" s="145">
        <f t="shared" si="11"/>
        <v>25.834653028151084</v>
      </c>
      <c r="G88" s="145">
        <f t="shared" si="11"/>
        <v>20.73048148001492</v>
      </c>
      <c r="H88" s="145">
        <f t="shared" si="11"/>
        <v>15.203930597618868</v>
      </c>
      <c r="I88" s="145">
        <f t="shared" si="11"/>
        <v>2.3625886407018797</v>
      </c>
      <c r="J88" s="145">
        <f t="shared" si="11"/>
        <v>17.445439209832134</v>
      </c>
      <c r="K88" s="145">
        <f t="shared" si="11"/>
        <v>22.048799042190907</v>
      </c>
      <c r="L88" s="691">
        <f>SUM(D88:INDEX(D88:K88,0,MATCH('RFPR cover'!$C$7,$D$6:$K$6,0)))</f>
        <v>66.431094958128284</v>
      </c>
      <c r="M88" s="692">
        <f>SUM(D88:K88)</f>
        <v>105.92533321015132</v>
      </c>
    </row>
    <row r="89" spans="2:15">
      <c r="B89" s="213"/>
    </row>
    <row r="90" spans="2:15">
      <c r="B90" s="213" t="s">
        <v>474</v>
      </c>
      <c r="C90" s="155" t="str">
        <f>'RFPR cover'!$C$14</f>
        <v>£m 12/13</v>
      </c>
      <c r="D90" s="145">
        <f t="shared" ref="D90:K90" si="12">D86-D88</f>
        <v>0.89828713753157885</v>
      </c>
      <c r="E90" s="145">
        <f t="shared" si="12"/>
        <v>1.1790852959557618</v>
      </c>
      <c r="F90" s="145">
        <f t="shared" si="12"/>
        <v>-0.11766586434522708</v>
      </c>
      <c r="G90" s="145">
        <f t="shared" si="12"/>
        <v>7.6198748884984013E-2</v>
      </c>
      <c r="H90" s="145">
        <f t="shared" si="12"/>
        <v>8.1558207939270488E-2</v>
      </c>
      <c r="I90" s="145">
        <f t="shared" si="12"/>
        <v>6.9352107062719881E-2</v>
      </c>
      <c r="J90" s="145">
        <f t="shared" si="12"/>
        <v>-3.3039595381225695E-3</v>
      </c>
      <c r="K90" s="145">
        <f t="shared" si="12"/>
        <v>1.0166799938168936E-2</v>
      </c>
      <c r="L90" s="691">
        <f>SUM(D90:INDEX(D90:K90,0,MATCH('RFPR cover'!$C$7,$D$6:$K$6,0)))</f>
        <v>2.186815633029088</v>
      </c>
      <c r="M90" s="692">
        <f>SUM(D90:K90)</f>
        <v>2.1936784734291344</v>
      </c>
    </row>
    <row r="91" spans="2:15">
      <c r="B91" s="200"/>
    </row>
    <row r="94" spans="2:15">
      <c r="B94" s="14" t="s">
        <v>574</v>
      </c>
    </row>
    <row r="95" spans="2:15">
      <c r="B95" s="838" t="s">
        <v>417</v>
      </c>
      <c r="C95" s="830"/>
      <c r="D95" s="830"/>
      <c r="E95" s="830"/>
      <c r="F95" s="830"/>
      <c r="G95" s="830"/>
      <c r="H95" s="830"/>
      <c r="I95" s="830"/>
      <c r="J95" s="830"/>
      <c r="K95" s="830"/>
      <c r="L95" s="830"/>
      <c r="M95" s="830"/>
      <c r="N95" s="830"/>
    </row>
    <row r="96" spans="2:15">
      <c r="B96" s="372"/>
      <c r="C96" s="155"/>
      <c r="D96" s="155"/>
      <c r="E96" s="155"/>
      <c r="F96" s="155"/>
      <c r="G96" s="155"/>
      <c r="H96" s="155"/>
      <c r="I96" s="155"/>
      <c r="J96" s="155"/>
      <c r="K96" s="155"/>
      <c r="L96" s="155"/>
      <c r="M96" s="155"/>
      <c r="N96" s="155"/>
    </row>
    <row r="97" spans="2:14">
      <c r="B97" s="856" t="s">
        <v>471</v>
      </c>
      <c r="C97" s="155"/>
      <c r="D97" s="155"/>
      <c r="E97" s="155"/>
      <c r="F97" s="155"/>
      <c r="G97" s="155"/>
      <c r="H97" s="155"/>
      <c r="I97" s="155"/>
      <c r="J97" s="155"/>
      <c r="K97" s="155"/>
      <c r="L97" s="155"/>
      <c r="M97" s="155"/>
      <c r="N97" s="155"/>
    </row>
    <row r="98" spans="2:14">
      <c r="B98" s="213" t="s">
        <v>472</v>
      </c>
      <c r="C98" s="155" t="s">
        <v>158</v>
      </c>
      <c r="D98" s="145">
        <f t="shared" ref="D98:K98" si="13">D80-D56-(D30/D41)</f>
        <v>-13.831484413766198</v>
      </c>
      <c r="E98" s="145">
        <f t="shared" si="13"/>
        <v>-13.219417119017848</v>
      </c>
      <c r="F98" s="145">
        <f t="shared" si="13"/>
        <v>-11.591942085755559</v>
      </c>
      <c r="G98" s="145">
        <f t="shared" si="13"/>
        <v>-11.866813676909512</v>
      </c>
      <c r="H98" s="145">
        <f t="shared" si="13"/>
        <v>-13.748084296996733</v>
      </c>
      <c r="I98" s="145">
        <f>I80-I56-(I30/I41)</f>
        <v>-11.614945830486068</v>
      </c>
      <c r="J98" s="145">
        <f t="shared" si="13"/>
        <v>-13.776464661955163</v>
      </c>
      <c r="K98" s="145">
        <f t="shared" si="13"/>
        <v>-14.54213937568667</v>
      </c>
      <c r="L98" s="691">
        <f>SUM(D98:INDEX(D98:K98,0,MATCH('RFPR cover'!$C$7,$D$6:$K$6,0)))</f>
        <v>-75.872687422931918</v>
      </c>
      <c r="M98" s="692">
        <f>SUM(D98:K98)</f>
        <v>-104.19129146057375</v>
      </c>
    </row>
    <row r="99" spans="2:14">
      <c r="B99" s="213"/>
    </row>
    <row r="100" spans="2:14">
      <c r="B100" s="213" t="s">
        <v>473</v>
      </c>
      <c r="C100" s="155" t="s">
        <v>158</v>
      </c>
      <c r="D100" s="145">
        <f t="shared" ref="D100:K100" si="14">D80-D110</f>
        <v>-15.061150078904816</v>
      </c>
      <c r="E100" s="145">
        <f t="shared" si="14"/>
        <v>-15.844796136128167</v>
      </c>
      <c r="F100" s="145">
        <f t="shared" si="14"/>
        <v>-14.343693104148638</v>
      </c>
      <c r="G100" s="145">
        <f t="shared" si="14"/>
        <v>-13.173632084856141</v>
      </c>
      <c r="H100" s="145">
        <f t="shared" si="14"/>
        <v>-14.196177463728137</v>
      </c>
      <c r="I100" s="145">
        <f t="shared" si="14"/>
        <v>-11.738954544478453</v>
      </c>
      <c r="J100" s="145">
        <f t="shared" si="14"/>
        <v>-13.68966215403081</v>
      </c>
      <c r="K100" s="145">
        <f t="shared" si="14"/>
        <v>-14.476089894867684</v>
      </c>
      <c r="L100" s="691">
        <f>SUM(D100:INDEX(D100:K100,0,MATCH('RFPR cover'!$C$7,$D$6:$K$6,0)))</f>
        <v>-84.358403412244343</v>
      </c>
      <c r="M100" s="692">
        <f>SUM(D100:K100)</f>
        <v>-112.52415546114284</v>
      </c>
    </row>
    <row r="101" spans="2:14">
      <c r="B101" s="213"/>
    </row>
    <row r="102" spans="2:14">
      <c r="B102" s="213" t="s">
        <v>474</v>
      </c>
      <c r="C102" s="155" t="s">
        <v>158</v>
      </c>
      <c r="D102" s="145">
        <f>D98-D100</f>
        <v>1.2296656651386186</v>
      </c>
      <c r="E102" s="145">
        <f t="shared" ref="E102:K102" si="15">E98-E100</f>
        <v>2.6253790171103191</v>
      </c>
      <c r="F102" s="145">
        <f t="shared" si="15"/>
        <v>2.7517510183930796</v>
      </c>
      <c r="G102" s="145">
        <f t="shared" si="15"/>
        <v>1.3068184079466292</v>
      </c>
      <c r="H102" s="145">
        <f t="shared" si="15"/>
        <v>0.44809316673140387</v>
      </c>
      <c r="I102" s="145">
        <f t="shared" si="15"/>
        <v>0.12400871399238511</v>
      </c>
      <c r="J102" s="145">
        <f t="shared" si="15"/>
        <v>-8.6802507924353733E-2</v>
      </c>
      <c r="K102" s="145">
        <f t="shared" si="15"/>
        <v>-6.6049480818985984E-2</v>
      </c>
      <c r="L102" s="691">
        <f>SUM(D102:INDEX(D102:K102,0,MATCH('RFPR cover'!$C$7,$D$6:$K$6,0)))</f>
        <v>8.4857159893124354</v>
      </c>
      <c r="M102" s="692">
        <f>SUM(D102:K102)</f>
        <v>8.3328640005690957</v>
      </c>
    </row>
    <row r="103" spans="2:14">
      <c r="B103" s="200"/>
    </row>
    <row r="104" spans="2:14">
      <c r="B104" s="200"/>
    </row>
    <row r="107" spans="2:14">
      <c r="B107" s="213" t="s">
        <v>416</v>
      </c>
      <c r="C107" s="152" t="s">
        <v>128</v>
      </c>
      <c r="D107" s="95">
        <f t="shared" ref="D107:K107" si="16">D30</f>
        <v>41.399999999999991</v>
      </c>
      <c r="E107" s="96">
        <f t="shared" si="16"/>
        <v>41.1</v>
      </c>
      <c r="F107" s="96">
        <f t="shared" si="16"/>
        <v>40.199999999999989</v>
      </c>
      <c r="G107" s="96">
        <f t="shared" si="16"/>
        <v>40.175030369999995</v>
      </c>
      <c r="H107" s="96">
        <f t="shared" si="16"/>
        <v>42.162094950000011</v>
      </c>
      <c r="I107" s="96">
        <f t="shared" si="16"/>
        <v>38.317174300000005</v>
      </c>
      <c r="J107" s="96">
        <f t="shared" si="16"/>
        <v>40.052496005330759</v>
      </c>
      <c r="K107" s="97">
        <f t="shared" si="16"/>
        <v>40.348929357809538</v>
      </c>
    </row>
    <row r="108" spans="2:14">
      <c r="B108" s="213" t="s">
        <v>434</v>
      </c>
      <c r="C108" s="152" t="s">
        <v>128</v>
      </c>
      <c r="D108" s="95">
        <f t="shared" ref="D108:K108" si="17">((D62-D63)/D63)*D107</f>
        <v>1.3038350975943884</v>
      </c>
      <c r="E108" s="95">
        <f t="shared" si="17"/>
        <v>2.8433817778771768</v>
      </c>
      <c r="F108" s="95">
        <f t="shared" si="17"/>
        <v>3.0917681371795411</v>
      </c>
      <c r="G108" s="95">
        <f t="shared" si="17"/>
        <v>1.5131587187842761</v>
      </c>
      <c r="H108" s="95">
        <f t="shared" si="17"/>
        <v>0.53227626102032821</v>
      </c>
      <c r="I108" s="95">
        <f t="shared" si="17"/>
        <v>0.14909259234805353</v>
      </c>
      <c r="J108" s="95">
        <f t="shared" si="17"/>
        <v>-0.10712604937732015</v>
      </c>
      <c r="K108" s="95">
        <f t="shared" si="17"/>
        <v>-8.4020559212197546E-2</v>
      </c>
    </row>
    <row r="109" spans="2:14">
      <c r="B109" s="213" t="s">
        <v>433</v>
      </c>
      <c r="C109" s="152" t="s">
        <v>128</v>
      </c>
      <c r="D109" s="102">
        <f>SUM(D107:D108)</f>
        <v>42.703835097594379</v>
      </c>
      <c r="E109" s="103">
        <f t="shared" ref="E109:K109" si="18">SUM(E107:E108)</f>
        <v>43.943381777877178</v>
      </c>
      <c r="F109" s="103">
        <f t="shared" si="18"/>
        <v>43.291768137179531</v>
      </c>
      <c r="G109" s="103">
        <f t="shared" si="18"/>
        <v>41.68818908878427</v>
      </c>
      <c r="H109" s="103">
        <f t="shared" si="18"/>
        <v>42.694371211020339</v>
      </c>
      <c r="I109" s="103">
        <f t="shared" si="18"/>
        <v>38.46626689234806</v>
      </c>
      <c r="J109" s="103">
        <f t="shared" si="18"/>
        <v>39.945369955953439</v>
      </c>
      <c r="K109" s="104">
        <f t="shared" si="18"/>
        <v>40.26490879859734</v>
      </c>
    </row>
    <row r="110" spans="2:14">
      <c r="B110" s="213" t="s">
        <v>433</v>
      </c>
      <c r="C110" s="155" t="s">
        <v>158</v>
      </c>
      <c r="D110" s="102">
        <f t="shared" ref="D110:K110" si="19">D109/D41</f>
        <v>40.274602122721106</v>
      </c>
      <c r="E110" s="103">
        <f t="shared" si="19"/>
        <v>40.574232190036291</v>
      </c>
      <c r="F110" s="103">
        <f t="shared" si="19"/>
        <v>38.530757085877468</v>
      </c>
      <c r="G110" s="103">
        <f t="shared" si="19"/>
        <v>36.003422654137168</v>
      </c>
      <c r="H110" s="103">
        <f t="shared" si="19"/>
        <v>35.941967355221891</v>
      </c>
      <c r="I110" s="103">
        <f t="shared" si="19"/>
        <v>31.994562669298336</v>
      </c>
      <c r="J110" s="103">
        <f t="shared" si="19"/>
        <v>32.367088232014474</v>
      </c>
      <c r="K110" s="104">
        <f t="shared" si="19"/>
        <v>31.652685322582503</v>
      </c>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2" t="s">
        <v>236</v>
      </c>
      <c r="B1" s="922"/>
      <c r="C1" s="256"/>
      <c r="D1" s="256"/>
      <c r="E1" s="256"/>
      <c r="F1" s="256"/>
      <c r="G1" s="256"/>
      <c r="H1" s="256"/>
      <c r="I1" s="257"/>
      <c r="J1" s="257"/>
      <c r="K1" s="258"/>
      <c r="L1" s="364"/>
    </row>
    <row r="2" spans="1:12" s="31" customFormat="1" ht="20.25">
      <c r="A2" s="915" t="str">
        <f>'RFPR cover'!C5</f>
        <v>SPMW</v>
      </c>
      <c r="B2" s="907"/>
      <c r="C2" s="29"/>
      <c r="D2" s="29"/>
      <c r="E2" s="29"/>
      <c r="F2" s="29"/>
      <c r="G2" s="29"/>
      <c r="H2" s="29"/>
      <c r="I2" s="27"/>
      <c r="J2" s="27"/>
      <c r="K2" s="27"/>
      <c r="L2" s="123"/>
    </row>
    <row r="3" spans="1:12" s="31" customFormat="1" ht="23.25">
      <c r="A3" s="918">
        <f>'RFPR cover'!C7</f>
        <v>2021</v>
      </c>
      <c r="B3" s="924" t="str">
        <f>'R1 - RoRE'!B3</f>
        <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row r="8" spans="1:12" s="2" customFormat="1">
      <c r="B8" s="213" t="s">
        <v>504</v>
      </c>
      <c r="C8" s="152" t="s">
        <v>128</v>
      </c>
      <c r="D8" s="886">
        <v>0</v>
      </c>
      <c r="E8" s="699">
        <f>D10</f>
        <v>0.3</v>
      </c>
      <c r="F8" s="699">
        <f t="shared" ref="F8:K8" si="1">E10</f>
        <v>0</v>
      </c>
      <c r="G8" s="699">
        <f t="shared" si="1"/>
        <v>0</v>
      </c>
      <c r="H8" s="699">
        <f t="shared" si="1"/>
        <v>0</v>
      </c>
      <c r="I8" s="699">
        <f t="shared" si="1"/>
        <v>0</v>
      </c>
      <c r="J8" s="699">
        <f t="shared" si="1"/>
        <v>0</v>
      </c>
      <c r="K8" s="699">
        <f t="shared" si="1"/>
        <v>0</v>
      </c>
    </row>
    <row r="9" spans="1:12" s="2" customFormat="1">
      <c r="B9" s="213"/>
    </row>
    <row r="10" spans="1:12">
      <c r="B10" s="213" t="s">
        <v>505</v>
      </c>
      <c r="C10" s="152" t="s">
        <v>128</v>
      </c>
      <c r="D10" s="693">
        <v>0.3</v>
      </c>
      <c r="E10" s="694">
        <v>0</v>
      </c>
      <c r="F10" s="694">
        <v>0</v>
      </c>
      <c r="G10" s="694">
        <v>0</v>
      </c>
      <c r="H10" s="694">
        <v>0</v>
      </c>
      <c r="I10" s="694">
        <v>0</v>
      </c>
      <c r="J10" s="694">
        <v>0</v>
      </c>
      <c r="K10" s="695">
        <v>0</v>
      </c>
    </row>
    <row r="11" spans="1:12">
      <c r="B11" s="213" t="s">
        <v>354</v>
      </c>
      <c r="C11" s="152" t="s">
        <v>128</v>
      </c>
      <c r="D11" s="696">
        <v>346.24900000000002</v>
      </c>
      <c r="E11" s="697">
        <v>346.56900000000002</v>
      </c>
      <c r="F11" s="697">
        <v>346.88900000000001</v>
      </c>
      <c r="G11" s="697">
        <v>347.209</v>
      </c>
      <c r="H11" s="697">
        <v>347.5</v>
      </c>
      <c r="I11" s="697">
        <v>347.86706332</v>
      </c>
      <c r="J11" s="697">
        <v>348.113</v>
      </c>
      <c r="K11" s="698">
        <v>348.44099999999997</v>
      </c>
    </row>
    <row r="12" spans="1:12">
      <c r="B12" s="213" t="s">
        <v>355</v>
      </c>
      <c r="C12" s="152" t="s">
        <v>128</v>
      </c>
      <c r="D12" s="696">
        <v>693.4</v>
      </c>
      <c r="E12" s="697">
        <v>727.1</v>
      </c>
      <c r="F12" s="697">
        <v>876</v>
      </c>
      <c r="G12" s="697">
        <v>962.3</v>
      </c>
      <c r="H12" s="697">
        <v>1007.5</v>
      </c>
      <c r="I12" s="697">
        <v>1139</v>
      </c>
      <c r="J12" s="697">
        <v>1057</v>
      </c>
      <c r="K12" s="698">
        <v>1002</v>
      </c>
    </row>
    <row r="13" spans="1:12">
      <c r="B13" s="213" t="s">
        <v>356</v>
      </c>
      <c r="C13" s="152" t="s">
        <v>128</v>
      </c>
      <c r="D13" s="696">
        <v>0</v>
      </c>
      <c r="E13" s="697">
        <v>0</v>
      </c>
      <c r="F13" s="697">
        <v>-56.1</v>
      </c>
      <c r="G13" s="697">
        <v>0</v>
      </c>
      <c r="H13" s="697">
        <v>0</v>
      </c>
      <c r="I13" s="697">
        <v>-56.680728039999998</v>
      </c>
      <c r="J13" s="697">
        <v>0</v>
      </c>
      <c r="K13" s="698">
        <v>0</v>
      </c>
    </row>
    <row r="14" spans="1:12">
      <c r="B14" s="213" t="s">
        <v>357</v>
      </c>
      <c r="C14" s="152" t="s">
        <v>128</v>
      </c>
      <c r="D14" s="696">
        <v>0</v>
      </c>
      <c r="E14" s="697">
        <v>0</v>
      </c>
      <c r="F14" s="697">
        <v>0</v>
      </c>
      <c r="G14" s="697">
        <v>0</v>
      </c>
      <c r="H14" s="697">
        <v>0</v>
      </c>
      <c r="I14" s="697">
        <v>0</v>
      </c>
      <c r="J14" s="697">
        <v>0</v>
      </c>
      <c r="K14" s="698">
        <v>0</v>
      </c>
    </row>
    <row r="15" spans="1:12">
      <c r="B15" s="213" t="s">
        <v>291</v>
      </c>
      <c r="C15" s="152" t="s">
        <v>128</v>
      </c>
      <c r="D15" s="696">
        <v>0</v>
      </c>
      <c r="E15" s="697">
        <v>0</v>
      </c>
      <c r="F15" s="697">
        <v>0</v>
      </c>
      <c r="G15" s="697">
        <v>0</v>
      </c>
      <c r="H15" s="697">
        <v>0</v>
      </c>
      <c r="I15" s="697">
        <v>0</v>
      </c>
      <c r="J15" s="697">
        <v>0</v>
      </c>
      <c r="K15" s="698">
        <v>0</v>
      </c>
    </row>
    <row r="16" spans="1:12">
      <c r="B16" s="213" t="s">
        <v>292</v>
      </c>
      <c r="C16" s="152" t="s">
        <v>128</v>
      </c>
      <c r="D16" s="696">
        <v>0</v>
      </c>
      <c r="E16" s="697">
        <v>0</v>
      </c>
      <c r="F16" s="697">
        <v>0</v>
      </c>
      <c r="G16" s="697">
        <v>0</v>
      </c>
      <c r="H16" s="697">
        <v>0</v>
      </c>
      <c r="I16" s="697">
        <v>0</v>
      </c>
      <c r="J16" s="697">
        <v>0</v>
      </c>
      <c r="K16" s="698">
        <v>0</v>
      </c>
    </row>
    <row r="17" spans="2:13">
      <c r="B17" s="213" t="s">
        <v>296</v>
      </c>
      <c r="C17" s="152" t="s">
        <v>128</v>
      </c>
      <c r="D17" s="696">
        <v>0</v>
      </c>
      <c r="E17" s="697">
        <v>0</v>
      </c>
      <c r="F17" s="697">
        <v>0</v>
      </c>
      <c r="G17" s="697">
        <v>0</v>
      </c>
      <c r="H17" s="697">
        <v>0</v>
      </c>
      <c r="I17" s="697">
        <v>0</v>
      </c>
      <c r="J17" s="697">
        <v>0</v>
      </c>
      <c r="K17" s="698">
        <v>0</v>
      </c>
    </row>
    <row r="18" spans="2:13">
      <c r="B18" s="213" t="s">
        <v>297</v>
      </c>
      <c r="C18" s="152" t="s">
        <v>128</v>
      </c>
      <c r="D18" s="696">
        <v>0</v>
      </c>
      <c r="E18" s="697">
        <v>0</v>
      </c>
      <c r="F18" s="697">
        <v>0</v>
      </c>
      <c r="G18" s="697">
        <v>0</v>
      </c>
      <c r="H18" s="697">
        <v>0</v>
      </c>
      <c r="I18" s="697">
        <v>0</v>
      </c>
      <c r="J18" s="697">
        <v>0</v>
      </c>
      <c r="K18" s="698">
        <v>0</v>
      </c>
    </row>
    <row r="19" spans="2:13">
      <c r="B19" s="213" t="s">
        <v>298</v>
      </c>
      <c r="C19" s="152" t="s">
        <v>128</v>
      </c>
      <c r="D19" s="696">
        <v>0</v>
      </c>
      <c r="E19" s="697">
        <v>0</v>
      </c>
      <c r="F19" s="697">
        <v>0</v>
      </c>
      <c r="G19" s="697">
        <v>0</v>
      </c>
      <c r="H19" s="697">
        <v>0</v>
      </c>
      <c r="I19" s="697">
        <v>0</v>
      </c>
      <c r="J19" s="697">
        <v>0</v>
      </c>
      <c r="K19" s="698">
        <v>0</v>
      </c>
    </row>
    <row r="20" spans="2:13">
      <c r="B20" s="213" t="s">
        <v>299</v>
      </c>
      <c r="C20" s="152" t="s">
        <v>128</v>
      </c>
      <c r="D20" s="696">
        <v>0</v>
      </c>
      <c r="E20" s="697">
        <v>0</v>
      </c>
      <c r="F20" s="697">
        <v>0</v>
      </c>
      <c r="G20" s="697">
        <v>0</v>
      </c>
      <c r="H20" s="697">
        <v>0</v>
      </c>
      <c r="I20" s="697">
        <v>0</v>
      </c>
      <c r="J20" s="697">
        <v>0</v>
      </c>
      <c r="K20" s="698">
        <v>0</v>
      </c>
    </row>
    <row r="21" spans="2:13">
      <c r="B21" s="213" t="s">
        <v>300</v>
      </c>
      <c r="C21" s="152" t="s">
        <v>128</v>
      </c>
      <c r="D21" s="696">
        <v>0</v>
      </c>
      <c r="E21" s="697">
        <v>0</v>
      </c>
      <c r="F21" s="697">
        <v>0</v>
      </c>
      <c r="G21" s="697">
        <v>0</v>
      </c>
      <c r="H21" s="697">
        <v>0</v>
      </c>
      <c r="I21" s="697">
        <v>0</v>
      </c>
      <c r="J21" s="697">
        <v>0</v>
      </c>
      <c r="K21" s="698">
        <v>0</v>
      </c>
    </row>
    <row r="22" spans="2:13">
      <c r="B22" s="213" t="s">
        <v>301</v>
      </c>
      <c r="C22" s="152" t="s">
        <v>128</v>
      </c>
      <c r="D22" s="696">
        <v>0</v>
      </c>
      <c r="E22" s="697">
        <v>0</v>
      </c>
      <c r="F22" s="697">
        <v>0</v>
      </c>
      <c r="G22" s="697">
        <v>0</v>
      </c>
      <c r="H22" s="697">
        <v>0</v>
      </c>
      <c r="I22" s="697">
        <v>0</v>
      </c>
      <c r="J22" s="697">
        <v>0</v>
      </c>
      <c r="K22" s="698">
        <v>0</v>
      </c>
    </row>
    <row r="23" spans="2:13">
      <c r="B23" s="14" t="s">
        <v>317</v>
      </c>
      <c r="C23" s="235" t="s">
        <v>128</v>
      </c>
      <c r="D23" s="699">
        <f>SUM(D10:D22)</f>
        <v>1039.9490000000001</v>
      </c>
      <c r="E23" s="699">
        <f t="shared" ref="E23:K23" si="2">SUM(E10:E22)</f>
        <v>1073.6690000000001</v>
      </c>
      <c r="F23" s="699">
        <f t="shared" si="2"/>
        <v>1166.7890000000002</v>
      </c>
      <c r="G23" s="699">
        <f t="shared" si="2"/>
        <v>1309.509</v>
      </c>
      <c r="H23" s="699">
        <f t="shared" si="2"/>
        <v>1355</v>
      </c>
      <c r="I23" s="699">
        <f t="shared" si="2"/>
        <v>1430.1863352799999</v>
      </c>
      <c r="J23" s="699">
        <f t="shared" si="2"/>
        <v>1405.1130000000001</v>
      </c>
      <c r="K23" s="700">
        <f t="shared" si="2"/>
        <v>1350.441</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70" t="s">
        <v>516</v>
      </c>
      <c r="C26" s="152" t="s">
        <v>128</v>
      </c>
      <c r="D26" s="347">
        <v>0</v>
      </c>
      <c r="E26" s="347">
        <v>0</v>
      </c>
      <c r="F26" s="347">
        <v>0</v>
      </c>
      <c r="G26" s="347">
        <v>0</v>
      </c>
      <c r="H26" s="347">
        <v>0</v>
      </c>
      <c r="I26" s="347">
        <v>0</v>
      </c>
      <c r="J26" s="347">
        <v>0</v>
      </c>
      <c r="K26" s="347">
        <v>0</v>
      </c>
      <c r="L26" s="2"/>
      <c r="M26" s="2"/>
    </row>
    <row r="27" spans="2:13">
      <c r="B27" s="370" t="s">
        <v>8</v>
      </c>
      <c r="C27" s="152" t="s">
        <v>128</v>
      </c>
      <c r="D27" s="347">
        <v>0</v>
      </c>
      <c r="E27" s="380">
        <v>0</v>
      </c>
      <c r="F27" s="380">
        <v>0</v>
      </c>
      <c r="G27" s="380">
        <v>0</v>
      </c>
      <c r="H27" s="380">
        <v>0</v>
      </c>
      <c r="I27" s="380">
        <v>0</v>
      </c>
      <c r="J27" s="380">
        <v>0</v>
      </c>
      <c r="K27" s="384">
        <v>0</v>
      </c>
      <c r="L27" s="35"/>
      <c r="M27" s="35"/>
    </row>
    <row r="28" spans="2:13">
      <c r="B28" s="370" t="s">
        <v>9</v>
      </c>
      <c r="C28" s="152" t="s">
        <v>128</v>
      </c>
      <c r="D28" s="347">
        <v>0</v>
      </c>
      <c r="E28" s="380">
        <v>0</v>
      </c>
      <c r="F28" s="380">
        <v>0</v>
      </c>
      <c r="G28" s="380">
        <v>0</v>
      </c>
      <c r="H28" s="380">
        <v>0</v>
      </c>
      <c r="I28" s="380">
        <v>0</v>
      </c>
      <c r="J28" s="380">
        <v>0</v>
      </c>
      <c r="K28" s="384">
        <v>0</v>
      </c>
      <c r="L28" s="35"/>
      <c r="M28" s="35"/>
    </row>
    <row r="29" spans="2:13">
      <c r="B29" s="370" t="s">
        <v>10</v>
      </c>
      <c r="C29" s="152" t="s">
        <v>128</v>
      </c>
      <c r="D29" s="347">
        <v>0</v>
      </c>
      <c r="E29" s="380">
        <v>0</v>
      </c>
      <c r="F29" s="380">
        <v>0</v>
      </c>
      <c r="G29" s="380">
        <v>0</v>
      </c>
      <c r="H29" s="380">
        <v>0</v>
      </c>
      <c r="I29" s="380">
        <v>0</v>
      </c>
      <c r="J29" s="380">
        <v>0</v>
      </c>
      <c r="K29" s="384">
        <v>0</v>
      </c>
      <c r="L29" s="35"/>
      <c r="M29" s="35"/>
    </row>
    <row r="30" spans="2:13">
      <c r="B30" s="370" t="s">
        <v>625</v>
      </c>
      <c r="C30" s="152" t="s">
        <v>128</v>
      </c>
      <c r="D30" s="347">
        <v>0</v>
      </c>
      <c r="E30" s="380">
        <v>0</v>
      </c>
      <c r="F30" s="380">
        <v>0</v>
      </c>
      <c r="G30" s="380">
        <v>0</v>
      </c>
      <c r="H30" s="380">
        <v>0</v>
      </c>
      <c r="I30" s="380">
        <v>0</v>
      </c>
      <c r="J30" s="380">
        <v>0</v>
      </c>
      <c r="K30" s="384">
        <v>0</v>
      </c>
    </row>
    <row r="31" spans="2:13">
      <c r="B31" s="370" t="s">
        <v>626</v>
      </c>
      <c r="C31" s="152" t="s">
        <v>128</v>
      </c>
      <c r="D31" s="347">
        <v>0</v>
      </c>
      <c r="E31" s="380">
        <v>0</v>
      </c>
      <c r="F31" s="380">
        <v>0</v>
      </c>
      <c r="G31" s="380">
        <v>0</v>
      </c>
      <c r="H31" s="380">
        <v>0</v>
      </c>
      <c r="I31" s="380">
        <v>0</v>
      </c>
      <c r="J31" s="380">
        <v>0</v>
      </c>
      <c r="K31" s="384">
        <v>0</v>
      </c>
    </row>
    <row r="32" spans="2:13" ht="12.75" customHeight="1">
      <c r="B32" s="370" t="s">
        <v>627</v>
      </c>
      <c r="C32" s="152" t="s">
        <v>128</v>
      </c>
      <c r="D32" s="347">
        <v>0</v>
      </c>
      <c r="E32" s="380">
        <v>0</v>
      </c>
      <c r="F32" s="380">
        <v>0</v>
      </c>
      <c r="G32" s="380">
        <v>0</v>
      </c>
      <c r="H32" s="380">
        <v>0</v>
      </c>
      <c r="I32" s="380">
        <v>0</v>
      </c>
      <c r="J32" s="380">
        <v>0</v>
      </c>
      <c r="K32" s="384">
        <v>0</v>
      </c>
    </row>
    <row r="33" spans="2:12">
      <c r="B33" s="370" t="s">
        <v>628</v>
      </c>
      <c r="C33" s="152" t="s">
        <v>128</v>
      </c>
      <c r="D33" s="347">
        <v>0</v>
      </c>
      <c r="E33" s="380">
        <v>0</v>
      </c>
      <c r="F33" s="380">
        <v>0</v>
      </c>
      <c r="G33" s="380">
        <v>0</v>
      </c>
      <c r="H33" s="380">
        <v>0</v>
      </c>
      <c r="I33" s="380">
        <v>0</v>
      </c>
      <c r="J33" s="380">
        <v>0</v>
      </c>
      <c r="K33" s="384">
        <v>0</v>
      </c>
    </row>
    <row r="34" spans="2:12">
      <c r="B34" s="370" t="s">
        <v>629</v>
      </c>
      <c r="C34" s="152" t="s">
        <v>128</v>
      </c>
      <c r="D34" s="347">
        <v>0</v>
      </c>
      <c r="E34" s="380">
        <v>0</v>
      </c>
      <c r="F34" s="380">
        <v>0</v>
      </c>
      <c r="G34" s="380">
        <v>0</v>
      </c>
      <c r="H34" s="380">
        <v>0</v>
      </c>
      <c r="I34" s="380">
        <v>0</v>
      </c>
      <c r="J34" s="380">
        <v>0</v>
      </c>
      <c r="K34" s="384">
        <v>0</v>
      </c>
    </row>
    <row r="35" spans="2:12">
      <c r="B35" s="370" t="s">
        <v>630</v>
      </c>
      <c r="C35" s="152" t="s">
        <v>128</v>
      </c>
      <c r="D35" s="347">
        <v>0</v>
      </c>
      <c r="E35" s="380">
        <v>0</v>
      </c>
      <c r="F35" s="380">
        <v>0</v>
      </c>
      <c r="G35" s="380">
        <v>0</v>
      </c>
      <c r="H35" s="380">
        <v>0</v>
      </c>
      <c r="I35" s="380">
        <v>0</v>
      </c>
      <c r="J35" s="380">
        <v>0</v>
      </c>
      <c r="K35" s="384">
        <v>0</v>
      </c>
    </row>
    <row r="36" spans="2:12">
      <c r="B36" s="370" t="s">
        <v>631</v>
      </c>
      <c r="C36" s="152" t="s">
        <v>128</v>
      </c>
      <c r="D36" s="347">
        <v>0</v>
      </c>
      <c r="E36" s="380">
        <v>0</v>
      </c>
      <c r="F36" s="380">
        <v>0</v>
      </c>
      <c r="G36" s="380">
        <v>0</v>
      </c>
      <c r="H36" s="380">
        <v>0</v>
      </c>
      <c r="I36" s="380">
        <v>0</v>
      </c>
      <c r="J36" s="380">
        <v>0</v>
      </c>
      <c r="K36" s="384">
        <v>0</v>
      </c>
    </row>
    <row r="37" spans="2:12">
      <c r="B37" s="370" t="s">
        <v>632</v>
      </c>
      <c r="C37" s="152" t="s">
        <v>128</v>
      </c>
      <c r="D37" s="347">
        <v>0</v>
      </c>
      <c r="E37" s="380">
        <v>0</v>
      </c>
      <c r="F37" s="380">
        <v>0</v>
      </c>
      <c r="G37" s="380">
        <v>0</v>
      </c>
      <c r="H37" s="380">
        <v>0</v>
      </c>
      <c r="I37" s="380">
        <v>0</v>
      </c>
      <c r="J37" s="380">
        <v>0</v>
      </c>
      <c r="K37" s="384">
        <v>0</v>
      </c>
    </row>
    <row r="38" spans="2:12">
      <c r="B38" s="370" t="s">
        <v>633</v>
      </c>
      <c r="C38" s="152" t="s">
        <v>128</v>
      </c>
      <c r="D38" s="347">
        <v>0</v>
      </c>
      <c r="E38" s="380">
        <v>0</v>
      </c>
      <c r="F38" s="380">
        <v>0</v>
      </c>
      <c r="G38" s="380">
        <v>0</v>
      </c>
      <c r="H38" s="380">
        <v>0</v>
      </c>
      <c r="I38" s="380">
        <v>0</v>
      </c>
      <c r="J38" s="380">
        <v>0</v>
      </c>
      <c r="K38" s="384">
        <v>0</v>
      </c>
    </row>
    <row r="39" spans="2:12">
      <c r="B39" s="370" t="s">
        <v>634</v>
      </c>
      <c r="C39" s="152" t="s">
        <v>128</v>
      </c>
      <c r="D39" s="347">
        <v>0</v>
      </c>
      <c r="E39" s="380">
        <v>0</v>
      </c>
      <c r="F39" s="380">
        <v>0</v>
      </c>
      <c r="G39" s="380">
        <v>0</v>
      </c>
      <c r="H39" s="380">
        <v>0</v>
      </c>
      <c r="I39" s="380">
        <v>0</v>
      </c>
      <c r="J39" s="380">
        <v>0</v>
      </c>
      <c r="K39" s="384">
        <v>0</v>
      </c>
    </row>
    <row r="40" spans="2:12">
      <c r="B40" s="370" t="s">
        <v>635</v>
      </c>
      <c r="C40" s="152" t="s">
        <v>128</v>
      </c>
      <c r="D40" s="347">
        <v>0</v>
      </c>
      <c r="E40" s="380">
        <v>0</v>
      </c>
      <c r="F40" s="380">
        <v>0</v>
      </c>
      <c r="G40" s="380">
        <v>0</v>
      </c>
      <c r="H40" s="380">
        <v>0</v>
      </c>
      <c r="I40" s="380">
        <v>0</v>
      </c>
      <c r="J40" s="380">
        <v>0</v>
      </c>
      <c r="K40" s="384">
        <v>0</v>
      </c>
    </row>
    <row r="41" spans="2:12">
      <c r="B41" s="370" t="s">
        <v>636</v>
      </c>
      <c r="C41" s="152" t="s">
        <v>128</v>
      </c>
      <c r="D41" s="381">
        <v>0</v>
      </c>
      <c r="E41" s="382">
        <v>0</v>
      </c>
      <c r="F41" s="382">
        <v>0</v>
      </c>
      <c r="G41" s="382">
        <v>0</v>
      </c>
      <c r="H41" s="382">
        <v>0</v>
      </c>
      <c r="I41" s="382">
        <v>0</v>
      </c>
      <c r="J41" s="382">
        <v>0</v>
      </c>
      <c r="K41" s="385">
        <v>0</v>
      </c>
    </row>
    <row r="42" spans="2:12">
      <c r="B42" s="199" t="s">
        <v>233</v>
      </c>
      <c r="C42" s="152" t="s">
        <v>128</v>
      </c>
      <c r="D42" s="707">
        <f>SUM(D23,D26:D41)</f>
        <v>1039.9490000000001</v>
      </c>
      <c r="E42" s="707">
        <f t="shared" ref="E42:K42" si="3">SUM(E23,E26:E41)</f>
        <v>1073.6690000000001</v>
      </c>
      <c r="F42" s="707">
        <f t="shared" si="3"/>
        <v>1166.7890000000002</v>
      </c>
      <c r="G42" s="707">
        <f t="shared" si="3"/>
        <v>1309.509</v>
      </c>
      <c r="H42" s="707">
        <f t="shared" si="3"/>
        <v>1355</v>
      </c>
      <c r="I42" s="707">
        <f t="shared" si="3"/>
        <v>1430.1863352799999</v>
      </c>
      <c r="J42" s="707">
        <f t="shared" si="3"/>
        <v>1405.1130000000001</v>
      </c>
      <c r="K42" s="707">
        <f t="shared" si="3"/>
        <v>1350.441</v>
      </c>
    </row>
    <row r="43" spans="2:12">
      <c r="B43" s="371" t="s">
        <v>304</v>
      </c>
      <c r="C43" s="152" t="s">
        <v>128</v>
      </c>
      <c r="D43" s="708"/>
      <c r="E43" s="709"/>
      <c r="F43" s="709"/>
      <c r="G43" s="710"/>
      <c r="H43" s="710"/>
      <c r="I43" s="710"/>
      <c r="J43" s="886">
        <v>72.472728394019441</v>
      </c>
      <c r="K43" s="886">
        <v>200.24773833349877</v>
      </c>
    </row>
    <row r="44" spans="2:12">
      <c r="B44" s="346" t="s">
        <v>421</v>
      </c>
      <c r="C44" s="152" t="s">
        <v>128</v>
      </c>
      <c r="D44" s="95">
        <f>SUM(D42:D43)</f>
        <v>1039.9490000000001</v>
      </c>
      <c r="E44" s="96">
        <f t="shared" ref="E44:K44" si="4">SUM(E42:E43)</f>
        <v>1073.6690000000001</v>
      </c>
      <c r="F44" s="96">
        <f t="shared" si="4"/>
        <v>1166.7890000000002</v>
      </c>
      <c r="G44" s="96">
        <f t="shared" si="4"/>
        <v>1309.509</v>
      </c>
      <c r="H44" s="96">
        <f t="shared" si="4"/>
        <v>1355</v>
      </c>
      <c r="I44" s="96">
        <f t="shared" si="4"/>
        <v>1430.1863352799999</v>
      </c>
      <c r="J44" s="96">
        <f t="shared" si="4"/>
        <v>1477.5857283940195</v>
      </c>
      <c r="K44" s="97">
        <f t="shared" si="4"/>
        <v>1550.6887383334988</v>
      </c>
    </row>
    <row r="45" spans="2:12">
      <c r="D45" s="226" t="s">
        <v>638</v>
      </c>
      <c r="E45" s="227" t="s">
        <v>638</v>
      </c>
      <c r="F45" s="227" t="s">
        <v>638</v>
      </c>
      <c r="G45" s="227" t="s">
        <v>638</v>
      </c>
      <c r="H45" s="227" t="s">
        <v>638</v>
      </c>
      <c r="I45" s="227" t="s">
        <v>638</v>
      </c>
      <c r="J45" s="227" t="s">
        <v>638</v>
      </c>
      <c r="K45" s="228" t="s">
        <v>638</v>
      </c>
    </row>
    <row r="47" spans="2:12">
      <c r="B47" s="825" t="s">
        <v>422</v>
      </c>
      <c r="C47" s="152" t="s">
        <v>128</v>
      </c>
      <c r="D47" s="840">
        <v>1030.9000000000001</v>
      </c>
      <c r="E47" s="96">
        <f>D48</f>
        <v>1039.9490000000001</v>
      </c>
      <c r="F47" s="96">
        <f t="shared" ref="F47:K47" si="5">E48</f>
        <v>1073.6690000000001</v>
      </c>
      <c r="G47" s="96">
        <f t="shared" si="5"/>
        <v>1166.7890000000002</v>
      </c>
      <c r="H47" s="96">
        <f t="shared" si="5"/>
        <v>1309.509</v>
      </c>
      <c r="I47" s="96">
        <f t="shared" si="5"/>
        <v>1355</v>
      </c>
      <c r="J47" s="96">
        <f t="shared" si="5"/>
        <v>1430.1863352799999</v>
      </c>
      <c r="K47" s="97">
        <f t="shared" si="5"/>
        <v>1477.5857283940195</v>
      </c>
      <c r="L47" s="824"/>
    </row>
    <row r="48" spans="2:12">
      <c r="B48" s="825" t="s">
        <v>423</v>
      </c>
      <c r="C48" s="152" t="s">
        <v>128</v>
      </c>
      <c r="D48" s="580">
        <f>D44</f>
        <v>1039.9490000000001</v>
      </c>
      <c r="E48" s="581">
        <f>E44</f>
        <v>1073.6690000000001</v>
      </c>
      <c r="F48" s="581">
        <f t="shared" ref="F48:K48" si="6">F44</f>
        <v>1166.7890000000002</v>
      </c>
      <c r="G48" s="581">
        <f t="shared" si="6"/>
        <v>1309.509</v>
      </c>
      <c r="H48" s="581">
        <f t="shared" si="6"/>
        <v>1355</v>
      </c>
      <c r="I48" s="581">
        <f t="shared" si="6"/>
        <v>1430.1863352799999</v>
      </c>
      <c r="J48" s="581">
        <f t="shared" si="6"/>
        <v>1477.5857283940195</v>
      </c>
      <c r="K48" s="839">
        <f t="shared" si="6"/>
        <v>1550.6887383334988</v>
      </c>
      <c r="L48" s="824"/>
    </row>
    <row r="49" spans="2:13">
      <c r="D49" s="23"/>
      <c r="E49" s="23"/>
      <c r="F49" s="23"/>
      <c r="G49" s="23"/>
      <c r="H49" s="23"/>
      <c r="I49" s="23"/>
      <c r="J49" s="23"/>
      <c r="K49" s="23"/>
    </row>
    <row r="50" spans="2:13">
      <c r="B50" s="14" t="s">
        <v>124</v>
      </c>
    </row>
    <row r="51" spans="2:13">
      <c r="B51" t="s">
        <v>125</v>
      </c>
      <c r="C51" s="481" t="s">
        <v>7</v>
      </c>
      <c r="D51" s="475">
        <v>0</v>
      </c>
      <c r="E51" s="476">
        <v>0</v>
      </c>
      <c r="F51" s="476">
        <v>0</v>
      </c>
      <c r="G51" s="476">
        <v>0</v>
      </c>
      <c r="H51" s="476">
        <v>0</v>
      </c>
      <c r="I51" s="476">
        <v>0</v>
      </c>
      <c r="J51" s="476">
        <v>0</v>
      </c>
      <c r="K51" s="477">
        <v>0</v>
      </c>
    </row>
    <row r="52" spans="2:13">
      <c r="B52" t="s">
        <v>126</v>
      </c>
      <c r="C52" s="481" t="s">
        <v>7</v>
      </c>
      <c r="D52" s="487">
        <f>1-D51</f>
        <v>1</v>
      </c>
      <c r="E52" s="488">
        <f t="shared" ref="E52:K52" si="7">1-E51</f>
        <v>1</v>
      </c>
      <c r="F52" s="488">
        <f t="shared" si="7"/>
        <v>1</v>
      </c>
      <c r="G52" s="488">
        <f t="shared" si="7"/>
        <v>1</v>
      </c>
      <c r="H52" s="488">
        <f t="shared" si="7"/>
        <v>1</v>
      </c>
      <c r="I52" s="488">
        <f t="shared" si="7"/>
        <v>1</v>
      </c>
      <c r="J52" s="488">
        <f t="shared" si="7"/>
        <v>1</v>
      </c>
      <c r="K52" s="489">
        <f t="shared" si="7"/>
        <v>1</v>
      </c>
    </row>
    <row r="53" spans="2:13">
      <c r="C53" s="824"/>
      <c r="D53" s="824"/>
      <c r="E53" s="824"/>
      <c r="F53" s="824"/>
      <c r="G53" s="824"/>
      <c r="H53" s="824"/>
      <c r="I53" s="824"/>
      <c r="J53" s="824"/>
      <c r="K53" s="824"/>
      <c r="L53" s="824"/>
    </row>
    <row r="54" spans="2:13">
      <c r="B54" s="200" t="s">
        <v>445</v>
      </c>
      <c r="C54" s="266" t="s">
        <v>128</v>
      </c>
      <c r="D54" s="711">
        <f>AVERAGE(D47:D48)*D52</f>
        <v>1035.4245000000001</v>
      </c>
      <c r="E54" s="712">
        <f t="shared" ref="E54:K54" si="8">AVERAGE(E47:E48)*E52</f>
        <v>1056.8090000000002</v>
      </c>
      <c r="F54" s="712">
        <f t="shared" si="8"/>
        <v>1120.2290000000003</v>
      </c>
      <c r="G54" s="712">
        <f t="shared" si="8"/>
        <v>1238.1490000000001</v>
      </c>
      <c r="H54" s="712">
        <f t="shared" si="8"/>
        <v>1332.2545</v>
      </c>
      <c r="I54" s="712">
        <f t="shared" si="8"/>
        <v>1392.59316764</v>
      </c>
      <c r="J54" s="712">
        <f t="shared" si="8"/>
        <v>1453.8860318370098</v>
      </c>
      <c r="K54" s="713">
        <f t="shared" si="8"/>
        <v>1514.1372333637592</v>
      </c>
    </row>
    <row r="55" spans="2:13">
      <c r="B55" s="200" t="s">
        <v>270</v>
      </c>
      <c r="C55" s="152" t="s">
        <v>128</v>
      </c>
      <c r="D55" s="701">
        <f>D56-D54</f>
        <v>607.70434072869284</v>
      </c>
      <c r="E55" s="702">
        <f t="shared" ref="E55:K55" si="9">E56-E54</f>
        <v>681.53130893867137</v>
      </c>
      <c r="F55" s="702">
        <f t="shared" si="9"/>
        <v>735.74857858953328</v>
      </c>
      <c r="G55" s="702">
        <f t="shared" si="9"/>
        <v>738.43998523706091</v>
      </c>
      <c r="H55" s="702">
        <f t="shared" si="9"/>
        <v>743.2433079428547</v>
      </c>
      <c r="I55" s="702">
        <f t="shared" si="9"/>
        <v>758.1941625649124</v>
      </c>
      <c r="J55" s="702">
        <f t="shared" si="9"/>
        <v>776.87921215649885</v>
      </c>
      <c r="K55" s="703">
        <f t="shared" si="9"/>
        <v>810.45395273716076</v>
      </c>
    </row>
    <row r="56" spans="2:13">
      <c r="B56" s="200" t="s">
        <v>492</v>
      </c>
      <c r="C56" s="152" t="s">
        <v>128</v>
      </c>
      <c r="D56" s="877">
        <f>IF(D6='RFPR cover'!$C$13,AVERAGE(('R9 - RAV'!D16*'R9 - RAV'!D36),'R9 - RAV'!D38),AVERAGE('R9 - RAV'!C38:D38))</f>
        <v>1643.1288407286929</v>
      </c>
      <c r="E56" s="877">
        <f>IF(E6='RFPR cover'!$C$13,AVERAGE(('R9 - RAV'!E16*'R9 - RAV'!E36),'R9 - RAV'!E38),AVERAGE('R9 - RAV'!D38:E38))</f>
        <v>1738.3403089386716</v>
      </c>
      <c r="F56" s="877">
        <f>IF(F6='RFPR cover'!$C$13,AVERAGE(('R9 - RAV'!F16*'R9 - RAV'!F36),'R9 - RAV'!F38),AVERAGE('R9 - RAV'!E38:F38))</f>
        <v>1855.9775785895336</v>
      </c>
      <c r="G56" s="877">
        <f>IF(G6='RFPR cover'!$C$13,AVERAGE(('R9 - RAV'!G16*'R9 - RAV'!G36),'R9 - RAV'!G38),AVERAGE('R9 - RAV'!F38:G38))</f>
        <v>1976.588985237061</v>
      </c>
      <c r="H56" s="877">
        <f>IF(H6='RFPR cover'!$C$13,AVERAGE(('R9 - RAV'!H16*'R9 - RAV'!H36),'R9 - RAV'!H38),AVERAGE('R9 - RAV'!G38:H38))</f>
        <v>2075.4978079428547</v>
      </c>
      <c r="I56" s="877">
        <f>IF(I6='RFPR cover'!$C$13,AVERAGE(('R9 - RAV'!I16*'R9 - RAV'!I36),'R9 - RAV'!I38),AVERAGE('R9 - RAV'!H38:I38))</f>
        <v>2150.7873302049125</v>
      </c>
      <c r="J56" s="877">
        <f>IF(J6='RFPR cover'!$C$13,AVERAGE(('R9 - RAV'!J16*'R9 - RAV'!J36),'R9 - RAV'!J38),AVERAGE('R9 - RAV'!I38:J38))</f>
        <v>2230.7652439935086</v>
      </c>
      <c r="K56" s="877">
        <f>IF(K6='RFPR cover'!$C$13,AVERAGE(('R9 - RAV'!K16*'R9 - RAV'!K36),'R9 - RAV'!K38),AVERAGE('R9 - RAV'!J38:K38))</f>
        <v>2324.5911861009199</v>
      </c>
    </row>
    <row r="57" spans="2:13">
      <c r="B57" s="200" t="s">
        <v>234</v>
      </c>
      <c r="C57" s="152" t="s">
        <v>7</v>
      </c>
      <c r="D57" s="231">
        <f>D54/D56</f>
        <v>0.63015417557932418</v>
      </c>
      <c r="E57" s="232">
        <f t="shared" ref="E57:K57" si="10">E54/E56</f>
        <v>0.60794137636101053</v>
      </c>
      <c r="F57" s="232">
        <f t="shared" si="10"/>
        <v>0.60357895101907866</v>
      </c>
      <c r="G57" s="232">
        <f t="shared" si="10"/>
        <v>0.62640691071720378</v>
      </c>
      <c r="H57" s="232">
        <f t="shared" si="10"/>
        <v>0.64189636573043363</v>
      </c>
      <c r="I57" s="232">
        <f t="shared" si="10"/>
        <v>0.647480644916819</v>
      </c>
      <c r="J57" s="232">
        <f t="shared" si="10"/>
        <v>0.65174317905109003</v>
      </c>
      <c r="K57" s="233">
        <f t="shared" si="10"/>
        <v>0.65135635135201975</v>
      </c>
    </row>
    <row r="58" spans="2:13">
      <c r="B58" s="200" t="s">
        <v>115</v>
      </c>
      <c r="C58" s="152" t="s">
        <v>7</v>
      </c>
      <c r="D58" s="878">
        <f>'RFPR cover'!$C$12</f>
        <v>0.65</v>
      </c>
      <c r="E58" s="879">
        <f>'RFPR cover'!$C$12</f>
        <v>0.65</v>
      </c>
      <c r="F58" s="879">
        <f>'RFPR cover'!$C$12</f>
        <v>0.65</v>
      </c>
      <c r="G58" s="879">
        <f>'RFPR cover'!$C$12</f>
        <v>0.65</v>
      </c>
      <c r="H58" s="879">
        <f>'RFPR cover'!$C$12</f>
        <v>0.65</v>
      </c>
      <c r="I58" s="879">
        <f>'RFPR cover'!$C$12</f>
        <v>0.65</v>
      </c>
      <c r="J58" s="879">
        <f>'RFPR cover'!$C$12</f>
        <v>0.65</v>
      </c>
      <c r="K58" s="880">
        <f>'RFPR cover'!$C$12</f>
        <v>0.65</v>
      </c>
    </row>
    <row r="59" spans="2:13">
      <c r="B59" s="200" t="s">
        <v>235</v>
      </c>
      <c r="C59" s="152" t="s">
        <v>7</v>
      </c>
      <c r="D59" s="236">
        <f t="shared" ref="D59:K59" si="11">IF(ISBLANK(D23),"n/a",D57-D58)</f>
        <v>-1.9845824420675839E-2</v>
      </c>
      <c r="E59" s="237">
        <f t="shared" si="11"/>
        <v>-4.205862363898949E-2</v>
      </c>
      <c r="F59" s="237">
        <f t="shared" si="11"/>
        <v>-4.6421048980921364E-2</v>
      </c>
      <c r="G59" s="237">
        <f t="shared" si="11"/>
        <v>-2.3593089282796242E-2</v>
      </c>
      <c r="H59" s="237">
        <f t="shared" si="11"/>
        <v>-8.1036342695663954E-3</v>
      </c>
      <c r="I59" s="237">
        <f t="shared" si="11"/>
        <v>-2.5193550831810185E-3</v>
      </c>
      <c r="J59" s="237">
        <f t="shared" si="11"/>
        <v>1.7431790510900047E-3</v>
      </c>
      <c r="K59" s="238">
        <f t="shared" si="11"/>
        <v>1.3563513520197246E-3</v>
      </c>
    </row>
    <row r="61" spans="2:13">
      <c r="B61" s="200" t="s">
        <v>499</v>
      </c>
      <c r="C61" s="155" t="str">
        <f>'RFPR cover'!$C$14</f>
        <v>£m 12/13</v>
      </c>
      <c r="D61" s="881">
        <f t="shared" ref="D61:K61" si="12">D63*D57</f>
        <v>958.57388151914813</v>
      </c>
      <c r="E61" s="705">
        <f t="shared" si="12"/>
        <v>955.75635036519407</v>
      </c>
      <c r="F61" s="705">
        <f t="shared" si="12"/>
        <v>980.77277167102648</v>
      </c>
      <c r="G61" s="705">
        <f t="shared" si="12"/>
        <v>1052.6859464721445</v>
      </c>
      <c r="H61" s="705">
        <f t="shared" si="12"/>
        <v>1106.9423870965456</v>
      </c>
      <c r="I61" s="705">
        <f t="shared" si="12"/>
        <v>1133.5448756992857</v>
      </c>
      <c r="J61" s="705">
        <f t="shared" si="12"/>
        <v>1156.0194727974174</v>
      </c>
      <c r="K61" s="706">
        <f t="shared" si="12"/>
        <v>1170.9141314961914</v>
      </c>
      <c r="M61" s="322"/>
    </row>
    <row r="62" spans="2:13">
      <c r="B62" s="200" t="s">
        <v>497</v>
      </c>
      <c r="C62" s="155" t="str">
        <f>'RFPR cover'!$C$14</f>
        <v>£m 12/13</v>
      </c>
      <c r="D62" s="668">
        <f>D63*(1-D57)</f>
        <v>562.59969578500215</v>
      </c>
      <c r="E62" s="669">
        <f t="shared" ref="E62:K62" si="13">E63*(1-E57)</f>
        <v>616.36291561752205</v>
      </c>
      <c r="F62" s="669">
        <f t="shared" si="13"/>
        <v>644.15594728959377</v>
      </c>
      <c r="G62" s="669">
        <f t="shared" si="13"/>
        <v>627.82863352645904</v>
      </c>
      <c r="H62" s="669">
        <f t="shared" si="13"/>
        <v>617.54531246679721</v>
      </c>
      <c r="I62" s="669">
        <f t="shared" si="13"/>
        <v>617.15591296276114</v>
      </c>
      <c r="J62" s="669">
        <f t="shared" si="13"/>
        <v>617.71519747643481</v>
      </c>
      <c r="K62" s="670">
        <f t="shared" si="13"/>
        <v>626.7410676367042</v>
      </c>
      <c r="M62" s="322"/>
    </row>
    <row r="63" spans="2:13">
      <c r="B63" s="200" t="s">
        <v>498</v>
      </c>
      <c r="C63" s="155" t="str">
        <f>'RFPR cover'!$C$14</f>
        <v>£m 12/13</v>
      </c>
      <c r="D63" s="876">
        <f>'R9 - RAV'!D47</f>
        <v>1521.1735773041503</v>
      </c>
      <c r="E63" s="876">
        <f>'R9 - RAV'!E47</f>
        <v>1572.1192659827161</v>
      </c>
      <c r="F63" s="876">
        <f>'R9 - RAV'!F47</f>
        <v>1624.9287189606202</v>
      </c>
      <c r="G63" s="876">
        <f>'R9 - RAV'!G47</f>
        <v>1680.5145799986035</v>
      </c>
      <c r="H63" s="876">
        <f>'R9 - RAV'!H47</f>
        <v>1724.4876995633429</v>
      </c>
      <c r="I63" s="876">
        <f>'R9 - RAV'!I47</f>
        <v>1750.700788662047</v>
      </c>
      <c r="J63" s="876">
        <f>'R9 - RAV'!J47</f>
        <v>1773.7346702738523</v>
      </c>
      <c r="K63" s="876">
        <f>'R9 - RAV'!K47</f>
        <v>1797.6551991328956</v>
      </c>
    </row>
    <row r="64" spans="2:13">
      <c r="B64" s="200" t="s">
        <v>234</v>
      </c>
      <c r="C64" s="152" t="s">
        <v>7</v>
      </c>
      <c r="D64" s="231">
        <f>D61/D63</f>
        <v>0.63015417557932418</v>
      </c>
      <c r="E64" s="232">
        <f t="shared" ref="E64:K64" si="14">E61/E63</f>
        <v>0.60794137636101053</v>
      </c>
      <c r="F64" s="232">
        <f t="shared" si="14"/>
        <v>0.60357895101907866</v>
      </c>
      <c r="G64" s="232">
        <f t="shared" si="14"/>
        <v>0.62640691071720378</v>
      </c>
      <c r="H64" s="232">
        <f t="shared" si="14"/>
        <v>0.64189636573043363</v>
      </c>
      <c r="I64" s="232">
        <f t="shared" si="14"/>
        <v>0.647480644916819</v>
      </c>
      <c r="J64" s="232">
        <f t="shared" si="14"/>
        <v>0.65174317905109003</v>
      </c>
      <c r="K64" s="233">
        <f t="shared" si="14"/>
        <v>0.65135635135201975</v>
      </c>
    </row>
    <row r="65" spans="2:11">
      <c r="B65" s="200" t="s">
        <v>115</v>
      </c>
      <c r="C65" s="152" t="s">
        <v>7</v>
      </c>
      <c r="D65" s="878">
        <f>'RFPR cover'!$C$12</f>
        <v>0.65</v>
      </c>
      <c r="E65" s="879">
        <f>'RFPR cover'!$C$12</f>
        <v>0.65</v>
      </c>
      <c r="F65" s="879">
        <f>'RFPR cover'!$C$12</f>
        <v>0.65</v>
      </c>
      <c r="G65" s="879">
        <f>'RFPR cover'!$C$12</f>
        <v>0.65</v>
      </c>
      <c r="H65" s="879">
        <f>'RFPR cover'!$C$12</f>
        <v>0.65</v>
      </c>
      <c r="I65" s="879">
        <f>'RFPR cover'!$C$12</f>
        <v>0.65</v>
      </c>
      <c r="J65" s="879">
        <f>'RFPR cover'!$C$12</f>
        <v>0.65</v>
      </c>
      <c r="K65" s="880">
        <f>'RFPR cover'!$C$12</f>
        <v>0.65</v>
      </c>
    </row>
    <row r="66" spans="2:11">
      <c r="B66" s="200" t="s">
        <v>235</v>
      </c>
      <c r="C66" s="152" t="s">
        <v>7</v>
      </c>
      <c r="D66" s="236">
        <f t="shared" ref="D66:K66" si="15">IF(ISBLANK(D23),"n/a",D64-D65)</f>
        <v>-1.9845824420675839E-2</v>
      </c>
      <c r="E66" s="237">
        <f t="shared" si="15"/>
        <v>-4.205862363898949E-2</v>
      </c>
      <c r="F66" s="237">
        <f t="shared" si="15"/>
        <v>-4.6421048980921364E-2</v>
      </c>
      <c r="G66" s="237">
        <f t="shared" si="15"/>
        <v>-2.3593089282796242E-2</v>
      </c>
      <c r="H66" s="237">
        <f t="shared" si="15"/>
        <v>-8.1036342695663954E-3</v>
      </c>
      <c r="I66" s="237">
        <f t="shared" si="15"/>
        <v>-2.5193550831810185E-3</v>
      </c>
      <c r="J66" s="237">
        <f t="shared" si="15"/>
        <v>1.7431790510900047E-3</v>
      </c>
      <c r="K66" s="238">
        <f t="shared" si="15"/>
        <v>1.3563513520197246E-3</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D43:I43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9" style="213"/>
  </cols>
  <sheetData>
    <row r="1" spans="1:14" s="31" customFormat="1" ht="20.25">
      <c r="A1" s="912" t="s">
        <v>120</v>
      </c>
      <c r="B1" s="941"/>
      <c r="C1" s="398"/>
      <c r="D1" s="120"/>
      <c r="E1" s="120"/>
      <c r="F1" s="120"/>
      <c r="G1" s="120"/>
      <c r="H1" s="120"/>
      <c r="I1" s="126"/>
      <c r="J1" s="126"/>
      <c r="K1" s="127"/>
      <c r="L1" s="364"/>
      <c r="N1" s="212"/>
    </row>
    <row r="2" spans="1:14" s="31" customFormat="1" ht="20.25">
      <c r="A2" s="915" t="str">
        <f>'RFPR cover'!C5</f>
        <v>SPMW</v>
      </c>
      <c r="B2" s="907"/>
      <c r="C2" s="221"/>
      <c r="D2" s="29"/>
      <c r="E2" s="29"/>
      <c r="F2" s="29"/>
      <c r="G2" s="29"/>
      <c r="H2" s="29"/>
      <c r="I2" s="27"/>
      <c r="J2" s="27"/>
      <c r="K2" s="27"/>
      <c r="L2" s="123"/>
      <c r="N2" s="212"/>
    </row>
    <row r="3" spans="1:14" s="31" customFormat="1" ht="20.25">
      <c r="A3" s="918">
        <f>'RFPR cover'!C7</f>
        <v>2021</v>
      </c>
      <c r="B3" s="925"/>
      <c r="C3" s="399"/>
      <c r="D3" s="260"/>
      <c r="E3" s="260"/>
      <c r="F3" s="260"/>
      <c r="G3" s="260"/>
      <c r="H3" s="260"/>
      <c r="I3" s="255"/>
      <c r="J3" s="255"/>
      <c r="K3" s="255"/>
      <c r="L3" s="261"/>
      <c r="N3" s="212"/>
    </row>
    <row r="4" spans="1:14" s="2" customFormat="1" ht="12.75" customHeight="1">
      <c r="C4" s="1"/>
      <c r="N4" s="129"/>
    </row>
    <row r="5" spans="1:14" s="2" customFormat="1">
      <c r="B5" s="38"/>
      <c r="C5" s="222"/>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Forecast</v>
      </c>
      <c r="J5" s="391" t="str">
        <f>IF(J6&lt;='RFPR cover'!$C$7-1,"Actuals","Forecast")</f>
        <v>Forecast</v>
      </c>
      <c r="K5" s="391"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30"/>
      <c r="E7" s="430"/>
      <c r="F7" s="430"/>
      <c r="G7" s="430"/>
      <c r="H7" s="430"/>
      <c r="I7" s="430"/>
      <c r="J7" s="430"/>
      <c r="K7" s="430"/>
      <c r="L7" s="35"/>
      <c r="M7" s="35"/>
      <c r="N7" s="225"/>
    </row>
    <row r="8" spans="1:14" s="2" customFormat="1">
      <c r="B8" s="12" t="s">
        <v>321</v>
      </c>
      <c r="N8" s="129"/>
    </row>
    <row r="9" spans="1:14" s="2" customFormat="1">
      <c r="B9" s="369" t="s">
        <v>320</v>
      </c>
      <c r="C9" s="369"/>
      <c r="D9" s="369"/>
      <c r="E9" s="369"/>
      <c r="F9" s="369"/>
      <c r="G9" s="369"/>
      <c r="H9" s="369"/>
      <c r="I9" s="369"/>
      <c r="J9" s="369"/>
      <c r="K9" s="369"/>
      <c r="L9" s="369"/>
      <c r="N9" s="129"/>
    </row>
    <row r="10" spans="1:14" s="35" customFormat="1">
      <c r="B10" s="429"/>
      <c r="C10" s="429"/>
      <c r="D10" s="429"/>
      <c r="E10" s="429"/>
      <c r="F10" s="429"/>
      <c r="G10" s="429"/>
      <c r="H10" s="429"/>
      <c r="I10" s="429"/>
      <c r="J10" s="429"/>
      <c r="K10" s="429"/>
      <c r="L10" s="429"/>
      <c r="N10" s="225"/>
    </row>
    <row r="11" spans="1:14" s="2" customFormat="1">
      <c r="B11" s="200" t="s">
        <v>319</v>
      </c>
      <c r="C11" s="210" t="str">
        <f>'RFPR cover'!$C$14</f>
        <v>£m 12/13</v>
      </c>
      <c r="D11" s="714">
        <v>1578.0241361232056</v>
      </c>
      <c r="E11" s="715">
        <v>1634.5558253400163</v>
      </c>
      <c r="F11" s="715">
        <v>1680.2027249925452</v>
      </c>
      <c r="G11" s="715">
        <v>1719.0586344262936</v>
      </c>
      <c r="H11" s="715">
        <v>1749.2889849649116</v>
      </c>
      <c r="I11" s="715">
        <v>1772.8738615566949</v>
      </c>
      <c r="J11" s="715">
        <v>1795.4761521794201</v>
      </c>
      <c r="K11" s="716">
        <v>1803.686733765401</v>
      </c>
      <c r="N11" s="129"/>
    </row>
    <row r="12" spans="1:14" s="2" customFormat="1">
      <c r="N12" s="129"/>
    </row>
    <row r="13" spans="1:14" s="2" customFormat="1">
      <c r="B13" s="12" t="s">
        <v>322</v>
      </c>
      <c r="C13" s="1"/>
      <c r="D13" s="1"/>
      <c r="E13" s="1"/>
      <c r="F13" s="1"/>
      <c r="G13" s="1"/>
      <c r="H13" s="1"/>
      <c r="I13" s="1"/>
      <c r="J13" s="1"/>
      <c r="K13" s="1"/>
      <c r="N13" s="129"/>
    </row>
    <row r="14" spans="1:14" s="2" customFormat="1">
      <c r="B14" s="369" t="s">
        <v>344</v>
      </c>
      <c r="C14" s="321"/>
      <c r="D14" s="321"/>
      <c r="E14" s="321"/>
      <c r="F14" s="321"/>
      <c r="G14" s="321"/>
      <c r="H14" s="321"/>
      <c r="I14" s="321"/>
      <c r="J14" s="321"/>
      <c r="K14" s="321"/>
      <c r="L14" s="293"/>
      <c r="N14" s="129"/>
    </row>
    <row r="15" spans="1:14" s="35" customFormat="1">
      <c r="B15" s="429"/>
      <c r="C15" s="320"/>
      <c r="D15" s="320"/>
      <c r="E15" s="320"/>
      <c r="F15" s="320"/>
      <c r="G15" s="320"/>
      <c r="H15" s="320"/>
      <c r="I15" s="320"/>
      <c r="J15" s="320"/>
      <c r="K15" s="320"/>
      <c r="N15" s="225"/>
    </row>
    <row r="16" spans="1:14" s="2" customFormat="1">
      <c r="B16" s="393" t="s">
        <v>323</v>
      </c>
      <c r="C16" s="210" t="str">
        <f>'RFPR cover'!$C$14</f>
        <v>£m 12/13</v>
      </c>
      <c r="D16" s="584">
        <v>1525.0434179190702</v>
      </c>
      <c r="E16" s="717">
        <f>D29</f>
        <v>1574.316424595328</v>
      </c>
      <c r="F16" s="717">
        <f t="shared" ref="F16:K16" si="1">E29</f>
        <v>1627.5853463738079</v>
      </c>
      <c r="G16" s="717">
        <f t="shared" si="1"/>
        <v>1680.487325552612</v>
      </c>
      <c r="H16" s="717">
        <f t="shared" si="1"/>
        <v>1738.6633737888615</v>
      </c>
      <c r="I16" s="717">
        <f t="shared" si="1"/>
        <v>1767.7956125094283</v>
      </c>
      <c r="J16" s="717">
        <f t="shared" si="1"/>
        <v>1790.0695110886793</v>
      </c>
      <c r="K16" s="587">
        <f t="shared" si="1"/>
        <v>1812.8106460818683</v>
      </c>
      <c r="N16" s="129"/>
    </row>
    <row r="17" spans="2:14" s="2" customFormat="1">
      <c r="B17" s="393" t="s">
        <v>324</v>
      </c>
      <c r="C17" s="210" t="str">
        <f>'RFPR cover'!$C$14</f>
        <v>£m 12/13</v>
      </c>
      <c r="D17" s="592">
        <v>0</v>
      </c>
      <c r="E17" s="593">
        <v>0</v>
      </c>
      <c r="F17" s="593">
        <v>0</v>
      </c>
      <c r="G17" s="593">
        <v>0</v>
      </c>
      <c r="H17" s="593">
        <v>0</v>
      </c>
      <c r="I17" s="593">
        <v>0</v>
      </c>
      <c r="J17" s="593">
        <v>0</v>
      </c>
      <c r="K17" s="685">
        <v>0</v>
      </c>
      <c r="N17" s="129"/>
    </row>
    <row r="18" spans="2:14" s="2" customFormat="1">
      <c r="B18" s="12" t="s">
        <v>325</v>
      </c>
      <c r="C18" s="210" t="str">
        <f>'RFPR cover'!$C$14</f>
        <v>£m 12/13</v>
      </c>
      <c r="D18" s="718">
        <f>SUM(D16:D17)</f>
        <v>1525.0434179190702</v>
      </c>
      <c r="E18" s="719">
        <f t="shared" ref="E18:K18" si="2">SUM(E16:E17)</f>
        <v>1574.316424595328</v>
      </c>
      <c r="F18" s="719">
        <f t="shared" si="2"/>
        <v>1627.5853463738079</v>
      </c>
      <c r="G18" s="719">
        <f t="shared" si="2"/>
        <v>1680.487325552612</v>
      </c>
      <c r="H18" s="719">
        <f t="shared" si="2"/>
        <v>1738.6633737888615</v>
      </c>
      <c r="I18" s="719">
        <f t="shared" si="2"/>
        <v>1767.7956125094283</v>
      </c>
      <c r="J18" s="719">
        <f t="shared" si="2"/>
        <v>1790.0695110886793</v>
      </c>
      <c r="K18" s="720">
        <f t="shared" si="2"/>
        <v>1812.8106460818683</v>
      </c>
      <c r="N18" s="129"/>
    </row>
    <row r="19" spans="2:14" s="2" customFormat="1">
      <c r="B19" s="395" t="s">
        <v>326</v>
      </c>
      <c r="C19" s="210" t="str">
        <f>'RFPR cover'!$C$14</f>
        <v>£m 12/13</v>
      </c>
      <c r="D19" s="588">
        <v>185.38182735890092</v>
      </c>
      <c r="E19" s="589">
        <v>193.26897291911357</v>
      </c>
      <c r="F19" s="589">
        <v>185.90278009227768</v>
      </c>
      <c r="G19" s="589">
        <v>182.19723489716034</v>
      </c>
      <c r="H19" s="589">
        <v>173.64379520270279</v>
      </c>
      <c r="I19" s="589">
        <v>167.04958454232496</v>
      </c>
      <c r="J19" s="589">
        <v>165.32714637781629</v>
      </c>
      <c r="K19" s="684">
        <v>166.20056772897343</v>
      </c>
      <c r="N19" s="129"/>
    </row>
    <row r="20" spans="2:14" s="2" customFormat="1">
      <c r="B20" s="395" t="s">
        <v>333</v>
      </c>
      <c r="C20" s="210" t="str">
        <f>'RFPR cover'!$C$14</f>
        <v>£m 12/13</v>
      </c>
      <c r="D20" s="592">
        <v>-3.7058701000560177</v>
      </c>
      <c r="E20" s="593">
        <v>-3.423100909806692</v>
      </c>
      <c r="F20" s="593">
        <v>6.9643422106164223</v>
      </c>
      <c r="G20" s="593">
        <v>19.266485476990908</v>
      </c>
      <c r="H20" s="593">
        <v>-0.55895020580763344</v>
      </c>
      <c r="I20" s="593">
        <v>-0.347611175956132</v>
      </c>
      <c r="J20" s="593">
        <v>-9.3647742487797245</v>
      </c>
      <c r="K20" s="685">
        <v>-8.8305210472011311</v>
      </c>
      <c r="N20" s="129"/>
    </row>
    <row r="21" spans="2:14" s="2" customFormat="1">
      <c r="B21" s="394" t="s">
        <v>329</v>
      </c>
      <c r="C21" s="210" t="str">
        <f>'RFPR cover'!$C$14</f>
        <v>£m 12/13</v>
      </c>
      <c r="D21" s="718">
        <f t="shared" ref="D21:K21" si="3">SUM(D19:D20)</f>
        <v>181.6759572588449</v>
      </c>
      <c r="E21" s="719">
        <f t="shared" si="3"/>
        <v>189.84587200930687</v>
      </c>
      <c r="F21" s="719">
        <f t="shared" si="3"/>
        <v>192.8671223028941</v>
      </c>
      <c r="G21" s="719">
        <f t="shared" si="3"/>
        <v>201.46372037415125</v>
      </c>
      <c r="H21" s="719">
        <f t="shared" si="3"/>
        <v>173.08484499689516</v>
      </c>
      <c r="I21" s="719">
        <f t="shared" si="3"/>
        <v>166.70197336636883</v>
      </c>
      <c r="J21" s="719">
        <f t="shared" si="3"/>
        <v>155.96237212903657</v>
      </c>
      <c r="K21" s="720">
        <f t="shared" si="3"/>
        <v>157.37004668177229</v>
      </c>
      <c r="N21" s="129"/>
    </row>
    <row r="22" spans="2:14" s="2" customFormat="1">
      <c r="B22" s="395" t="s">
        <v>327</v>
      </c>
      <c r="C22" s="210" t="str">
        <f>'RFPR cover'!$C$14</f>
        <v>£m 12/13</v>
      </c>
      <c r="D22" s="588">
        <v>-132.4029505825871</v>
      </c>
      <c r="E22" s="589">
        <v>-136.73720407299172</v>
      </c>
      <c r="F22" s="589">
        <v>-140.25580081043762</v>
      </c>
      <c r="G22" s="589">
        <v>-143.34124583410085</v>
      </c>
      <c r="H22" s="589">
        <v>-143.41336503477356</v>
      </c>
      <c r="I22" s="589">
        <v>-143.90452337590179</v>
      </c>
      <c r="J22" s="589">
        <v>-132.70665633562385</v>
      </c>
      <c r="K22" s="684">
        <v>-132.92571625148452</v>
      </c>
      <c r="N22" s="129"/>
    </row>
    <row r="23" spans="2:14" s="2" customFormat="1">
      <c r="B23" s="395" t="s">
        <v>328</v>
      </c>
      <c r="C23" s="210" t="str">
        <f>'RFPR cover'!$C$14</f>
        <v>£m 12/13</v>
      </c>
      <c r="D23" s="592">
        <v>0</v>
      </c>
      <c r="E23" s="593">
        <v>0.16025384216458455</v>
      </c>
      <c r="F23" s="593">
        <v>0.29065768634769662</v>
      </c>
      <c r="G23" s="593">
        <v>5.3573696199052445E-2</v>
      </c>
      <c r="H23" s="593">
        <v>-0.53924124155451403</v>
      </c>
      <c r="I23" s="593">
        <v>-0.5235514112160542</v>
      </c>
      <c r="J23" s="593">
        <v>-0.51458080022363784</v>
      </c>
      <c r="K23" s="685">
        <v>-0.29094440025277873</v>
      </c>
      <c r="N23" s="129"/>
    </row>
    <row r="24" spans="2:14" s="2" customFormat="1">
      <c r="B24" s="394" t="s">
        <v>330</v>
      </c>
      <c r="C24" s="210" t="str">
        <f>'RFPR cover'!$C$14</f>
        <v>£m 12/13</v>
      </c>
      <c r="D24" s="718">
        <f t="shared" ref="D24:K24" si="4">SUM(D22:D23)</f>
        <v>-132.4029505825871</v>
      </c>
      <c r="E24" s="719">
        <f t="shared" si="4"/>
        <v>-136.57695023082712</v>
      </c>
      <c r="F24" s="719">
        <f t="shared" si="4"/>
        <v>-139.96514312408993</v>
      </c>
      <c r="G24" s="719">
        <f t="shared" si="4"/>
        <v>-143.28767213790178</v>
      </c>
      <c r="H24" s="719">
        <f t="shared" si="4"/>
        <v>-143.95260627632808</v>
      </c>
      <c r="I24" s="719">
        <f t="shared" si="4"/>
        <v>-144.42807478711785</v>
      </c>
      <c r="J24" s="719">
        <f t="shared" si="4"/>
        <v>-133.22123713584747</v>
      </c>
      <c r="K24" s="720">
        <f t="shared" si="4"/>
        <v>-133.2166606517373</v>
      </c>
      <c r="N24" s="129"/>
    </row>
    <row r="25" spans="2:14" s="2" customFormat="1">
      <c r="B25" s="396" t="s">
        <v>266</v>
      </c>
      <c r="C25" s="210" t="str">
        <f>'RFPR cover'!$C$14</f>
        <v>£m 12/13</v>
      </c>
      <c r="D25" s="721">
        <v>0</v>
      </c>
      <c r="E25" s="722">
        <v>0</v>
      </c>
      <c r="F25" s="722">
        <v>0</v>
      </c>
      <c r="G25" s="722">
        <v>0</v>
      </c>
      <c r="H25" s="722">
        <v>0</v>
      </c>
      <c r="I25" s="722">
        <v>0</v>
      </c>
      <c r="J25" s="722">
        <v>0</v>
      </c>
      <c r="K25" s="723">
        <v>0</v>
      </c>
      <c r="N25" s="129"/>
    </row>
    <row r="26" spans="2:14" s="2" customFormat="1">
      <c r="B26" s="396" t="s">
        <v>266</v>
      </c>
      <c r="C26" s="210" t="str">
        <f>'RFPR cover'!$C$14</f>
        <v>£m 12/13</v>
      </c>
      <c r="D26" s="721">
        <v>0</v>
      </c>
      <c r="E26" s="722">
        <v>0</v>
      </c>
      <c r="F26" s="722">
        <v>0</v>
      </c>
      <c r="G26" s="722">
        <v>0</v>
      </c>
      <c r="H26" s="722">
        <v>0</v>
      </c>
      <c r="I26" s="722">
        <v>0</v>
      </c>
      <c r="J26" s="722">
        <v>0</v>
      </c>
      <c r="K26" s="723">
        <v>0</v>
      </c>
      <c r="N26" s="129"/>
    </row>
    <row r="27" spans="2:14" s="2" customFormat="1">
      <c r="B27" s="396" t="s">
        <v>266</v>
      </c>
      <c r="C27" s="210" t="str">
        <f>'RFPR cover'!$C$14</f>
        <v>£m 12/13</v>
      </c>
      <c r="D27" s="721">
        <v>0</v>
      </c>
      <c r="E27" s="722">
        <v>0</v>
      </c>
      <c r="F27" s="722">
        <v>0</v>
      </c>
      <c r="G27" s="722">
        <v>0</v>
      </c>
      <c r="H27" s="722">
        <v>0</v>
      </c>
      <c r="I27" s="722">
        <v>0</v>
      </c>
      <c r="J27" s="722">
        <v>0</v>
      </c>
      <c r="K27" s="723">
        <v>0</v>
      </c>
      <c r="N27" s="129"/>
    </row>
    <row r="28" spans="2:14" s="2" customFormat="1">
      <c r="B28" s="394" t="s">
        <v>331</v>
      </c>
      <c r="C28" s="210" t="str">
        <f>'RFPR cover'!$C$14</f>
        <v>£m 12/13</v>
      </c>
      <c r="D28" s="724">
        <f>SUM(D25:D27)</f>
        <v>0</v>
      </c>
      <c r="E28" s="725">
        <f t="shared" ref="E28:K28" si="5">SUM(E25:E27)</f>
        <v>0</v>
      </c>
      <c r="F28" s="725">
        <f t="shared" si="5"/>
        <v>0</v>
      </c>
      <c r="G28" s="725">
        <f t="shared" si="5"/>
        <v>0</v>
      </c>
      <c r="H28" s="725">
        <f t="shared" si="5"/>
        <v>0</v>
      </c>
      <c r="I28" s="725">
        <f t="shared" si="5"/>
        <v>0</v>
      </c>
      <c r="J28" s="725">
        <f t="shared" si="5"/>
        <v>0</v>
      </c>
      <c r="K28" s="726">
        <f t="shared" si="5"/>
        <v>0</v>
      </c>
      <c r="N28" s="129"/>
    </row>
    <row r="29" spans="2:14" s="2" customFormat="1">
      <c r="B29" s="12" t="s">
        <v>332</v>
      </c>
      <c r="C29" s="210" t="str">
        <f>'RFPR cover'!$C$14</f>
        <v>£m 12/13</v>
      </c>
      <c r="D29" s="727">
        <f>D18+D21+D24+D28</f>
        <v>1574.316424595328</v>
      </c>
      <c r="E29" s="728">
        <f t="shared" ref="E29:K29" si="6">E18+E21+E24+E28</f>
        <v>1627.5853463738079</v>
      </c>
      <c r="F29" s="728">
        <f t="shared" si="6"/>
        <v>1680.487325552612</v>
      </c>
      <c r="G29" s="728">
        <f t="shared" si="6"/>
        <v>1738.6633737888615</v>
      </c>
      <c r="H29" s="728">
        <f t="shared" si="6"/>
        <v>1767.7956125094283</v>
      </c>
      <c r="I29" s="728">
        <f t="shared" si="6"/>
        <v>1790.0695110886793</v>
      </c>
      <c r="J29" s="728">
        <f t="shared" si="6"/>
        <v>1812.8106460818683</v>
      </c>
      <c r="K29" s="729">
        <f t="shared" si="6"/>
        <v>1836.9640321119032</v>
      </c>
      <c r="N29" s="129"/>
    </row>
    <row r="30" spans="2:14" s="2" customFormat="1">
      <c r="B30" s="12"/>
      <c r="C30" s="210"/>
      <c r="D30" s="210"/>
      <c r="E30" s="210"/>
      <c r="F30" s="210"/>
      <c r="G30" s="210"/>
      <c r="H30" s="210"/>
      <c r="I30" s="210"/>
      <c r="J30" s="210"/>
      <c r="K30" s="210"/>
      <c r="L30" s="210"/>
      <c r="N30" s="129"/>
    </row>
    <row r="31" spans="2:14" s="2" customFormat="1">
      <c r="B31" s="12" t="s">
        <v>495</v>
      </c>
      <c r="C31" s="210" t="str">
        <f>'RFPR cover'!$C$14</f>
        <v>£m 12/13</v>
      </c>
      <c r="D31" s="727">
        <f t="shared" ref="D31:K31" si="7">(D20+D23+D28)</f>
        <v>-3.7058701000560177</v>
      </c>
      <c r="E31" s="727">
        <f t="shared" si="7"/>
        <v>-3.2628470676421073</v>
      </c>
      <c r="F31" s="727">
        <f t="shared" si="7"/>
        <v>7.2549998969641187</v>
      </c>
      <c r="G31" s="727">
        <f t="shared" si="7"/>
        <v>19.320059173189961</v>
      </c>
      <c r="H31" s="727">
        <f t="shared" si="7"/>
        <v>-1.0981914473621475</v>
      </c>
      <c r="I31" s="727">
        <f t="shared" si="7"/>
        <v>-0.8711625871721862</v>
      </c>
      <c r="J31" s="727">
        <f t="shared" si="7"/>
        <v>-9.8793550490033617</v>
      </c>
      <c r="K31" s="727">
        <f t="shared" si="7"/>
        <v>-9.1214654474539092</v>
      </c>
      <c r="L31" s="210"/>
      <c r="N31" s="129"/>
    </row>
    <row r="32" spans="2:14" s="2" customFormat="1">
      <c r="B32" s="12" t="s">
        <v>496</v>
      </c>
      <c r="C32" s="210"/>
      <c r="D32" s="516" t="str">
        <f>IF(D5="Actuals",IF(ABS((D29-SUM($D$31:D31))-D11)&lt;'RFPR cover'!$F$14,"TRUE","FALSE"),"NA")</f>
        <v>TRUE</v>
      </c>
      <c r="E32" s="516" t="str">
        <f>IF(E5="Actuals",IF(ABS((E29-SUM($D$31:E31))-E11)&lt;'RFPR cover'!$F$14,"TRUE","FALSE"),"NA")</f>
        <v>TRUE</v>
      </c>
      <c r="F32" s="516" t="str">
        <f>IF(F5="Actuals",IF(ABS((F29-SUM($D$31:F31))-F11)&lt;'RFPR cover'!$F$14,"TRUE","FALSE"),"NA")</f>
        <v>TRUE</v>
      </c>
      <c r="G32" s="516" t="str">
        <f>IF(G5="Actuals",IF(ABS((G29-SUM($D$31:G31))-G11)&lt;'RFPR cover'!$F$14,"TRUE","FALSE"),"NA")</f>
        <v>TRUE</v>
      </c>
      <c r="H32" s="516" t="str">
        <f>IF(H5="Actuals",IF(ABS((H29-SUM($D$31:H31))-H11)&lt;'RFPR cover'!$F$14,"TRUE","FALSE"),"NA")</f>
        <v>TRUE</v>
      </c>
      <c r="I32" s="516" t="str">
        <f>IF(I5="Actuals",IF(ABS((I29-SUM($D$31:I31))-I11)&lt;'RFPR cover'!$F$14,"TRUE","FALSE"),"NA")</f>
        <v>NA</v>
      </c>
      <c r="J32" s="516" t="str">
        <f>IF(J5="Actuals",IF(ABS((J29-SUM($D$31:J31))-J11)&lt;'RFPR cover'!$F$14,"TRUE","FALSE"),"NA")</f>
        <v>NA</v>
      </c>
      <c r="K32" s="516" t="str">
        <f>IF(K5="Actuals",IF(ABS((K29-SUM($D$31:K31))-K11)&lt;'RFPR cover'!$F$14,"TRUE","FALSE"),"NA")</f>
        <v>NA</v>
      </c>
      <c r="L32" s="210"/>
      <c r="N32" s="129"/>
    </row>
    <row r="33" spans="2:14" s="35" customFormat="1">
      <c r="B33" s="51"/>
      <c r="C33" s="478"/>
      <c r="D33" s="479"/>
      <c r="E33" s="479"/>
      <c r="F33" s="479"/>
      <c r="G33" s="479"/>
      <c r="H33" s="479"/>
      <c r="I33" s="479"/>
      <c r="J33" s="479"/>
      <c r="K33" s="479"/>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1.2544129968325328</v>
      </c>
      <c r="K34" s="112">
        <f>Data!J$35</f>
        <v>1.2929861964851332</v>
      </c>
      <c r="N34" s="225"/>
    </row>
    <row r="35" spans="2:14" s="31" customFormat="1">
      <c r="B35" s="37" t="s">
        <v>360</v>
      </c>
      <c r="C35" s="267" t="s">
        <v>127</v>
      </c>
      <c r="D35" s="112">
        <f>Data!C$34</f>
        <v>1.0603167467048125</v>
      </c>
      <c r="E35" s="113">
        <f>Data!D$34</f>
        <v>1.0830366813119445</v>
      </c>
      <c r="F35" s="113">
        <f>Data!E$34</f>
        <v>1.1235639113109226</v>
      </c>
      <c r="G35" s="113">
        <f>Data!F$34</f>
        <v>1.1578951670583426</v>
      </c>
      <c r="H35" s="113">
        <f>Data!G$34</f>
        <v>1.1878696229692449</v>
      </c>
      <c r="I35" s="113">
        <f>Data!H$34</f>
        <v>1.202275126868976</v>
      </c>
      <c r="J35" s="113">
        <f>Data!I$34</f>
        <v>1.2341354177310038</v>
      </c>
      <c r="K35" s="114">
        <f>Data!J$34</f>
        <v>1.2720850818262321</v>
      </c>
      <c r="L35" s="234"/>
      <c r="N35" s="212"/>
    </row>
    <row r="36" spans="2:14" s="31" customFormat="1">
      <c r="B36" s="171" t="s">
        <v>493</v>
      </c>
      <c r="C36" s="267" t="s">
        <v>127</v>
      </c>
      <c r="D36" s="872">
        <f>INDEX(Data!$F$14:$F$30,MATCH($D$6-1,Data!$C$14:$C$30,0),0)/IF('RFPR cover'!$C$6="ED1",Data!$E$17,Data!$E$14)</f>
        <v>1.0526208235414325</v>
      </c>
      <c r="E36" s="873"/>
      <c r="F36" s="873"/>
      <c r="G36" s="873"/>
      <c r="H36" s="873"/>
      <c r="I36" s="873"/>
      <c r="J36" s="873"/>
      <c r="K36" s="873"/>
      <c r="L36" s="234"/>
      <c r="N36" s="212"/>
    </row>
    <row r="37" spans="2:14" s="35" customFormat="1">
      <c r="B37" s="51"/>
      <c r="C37" s="478"/>
      <c r="D37" s="479"/>
      <c r="E37" s="479"/>
      <c r="F37" s="479"/>
      <c r="G37" s="479"/>
      <c r="H37" s="479"/>
      <c r="I37" s="479"/>
      <c r="J37" s="479"/>
      <c r="K37" s="479"/>
      <c r="N37" s="225"/>
    </row>
    <row r="38" spans="2:14" s="2" customFormat="1">
      <c r="B38" s="12" t="s">
        <v>332</v>
      </c>
      <c r="C38" s="266" t="s">
        <v>128</v>
      </c>
      <c r="D38" s="727">
        <f t="shared" ref="D38:K38" si="8">D29*D34</f>
        <v>1680.9652229509734</v>
      </c>
      <c r="E38" s="727">
        <f t="shared" si="8"/>
        <v>1795.7153949263695</v>
      </c>
      <c r="F38" s="727">
        <f t="shared" si="8"/>
        <v>1916.2397622526973</v>
      </c>
      <c r="G38" s="727">
        <f t="shared" si="8"/>
        <v>2036.9382082214247</v>
      </c>
      <c r="H38" s="727">
        <f t="shared" si="8"/>
        <v>2114.0574076642843</v>
      </c>
      <c r="I38" s="727">
        <f t="shared" si="8"/>
        <v>2187.5172527455406</v>
      </c>
      <c r="J38" s="727">
        <f t="shared" si="8"/>
        <v>2274.0132352414767</v>
      </c>
      <c r="K38" s="727">
        <f t="shared" si="8"/>
        <v>2375.1691369603636</v>
      </c>
      <c r="N38" s="129"/>
    </row>
    <row r="39" spans="2:14" s="2" customFormat="1">
      <c r="B39" s="12"/>
      <c r="C39" s="210"/>
      <c r="D39" s="210"/>
      <c r="E39" s="210"/>
      <c r="F39" s="210"/>
      <c r="G39" s="210"/>
      <c r="H39" s="210"/>
      <c r="I39" s="210"/>
      <c r="J39" s="210"/>
      <c r="K39" s="210"/>
      <c r="N39" s="129"/>
    </row>
    <row r="40" spans="2:14" s="2" customFormat="1">
      <c r="B40" s="507" t="s">
        <v>335</v>
      </c>
      <c r="C40" s="210" t="s">
        <v>338</v>
      </c>
      <c r="D40" s="409">
        <f>INDEX(Data!$K$73:$T$100,MATCH('RFPR cover'!$C$5,Data!$B$73:$B$100,0),MATCH('R9 - RAV'!D$6,Data!$K$72:$T$72,0))</f>
        <v>2.5499999999999998E-2</v>
      </c>
      <c r="E40" s="410">
        <f>INDEX(Data!$K$73:$T$100,MATCH('RFPR cover'!$C$5,Data!$B$73:$B$100,0),MATCH('R9 - RAV'!E$6,Data!$K$72:$T$72,0))</f>
        <v>2.4199999999999999E-2</v>
      </c>
      <c r="F40" s="410">
        <f>INDEX(Data!$K$73:$T$100,MATCH('RFPR cover'!$C$5,Data!$B$73:$B$100,0),MATCH('R9 - RAV'!F$6,Data!$K$72:$T$72,0))</f>
        <v>2.29E-2</v>
      </c>
      <c r="G40" s="410">
        <f>INDEX(Data!$K$73:$T$100,MATCH('RFPR cover'!$C$5,Data!$B$73:$B$100,0),MATCH('R9 - RAV'!G$6,Data!$K$72:$T$72,0))</f>
        <v>2.0899999999999998E-2</v>
      </c>
      <c r="H40" s="410">
        <f>INDEX(Data!$K$73:$T$100,MATCH('RFPR cover'!$C$5,Data!$B$73:$B$100,0),MATCH('R9 - RAV'!H$6,Data!$K$72:$T$72,0))</f>
        <v>1.9400000000000001E-2</v>
      </c>
      <c r="I40" s="410">
        <f>INDEX(Data!$K$73:$T$100,MATCH('RFPR cover'!$C$5,Data!$B$73:$B$100,0),MATCH('R9 - RAV'!I$6,Data!$K$72:$T$72,0))</f>
        <v>1.78E-2</v>
      </c>
      <c r="J40" s="410">
        <f>INDEX(Data!$K$73:$T$100,MATCH('RFPR cover'!$C$5,Data!$B$73:$B$100,0),MATCH('R9 - RAV'!J$6,Data!$K$72:$T$72,0))</f>
        <v>1.6199999999999999E-2</v>
      </c>
      <c r="K40" s="411">
        <f>INDEX(Data!$K$73:$T$100,MATCH('RFPR cover'!$C$5,Data!$B$73:$B$100,0),MATCH('R9 - RAV'!K$6,Data!$K$72:$T$72,0))</f>
        <v>1.47E-2</v>
      </c>
      <c r="N40" s="129"/>
    </row>
    <row r="41" spans="2:14" s="2" customFormat="1">
      <c r="B41" s="507" t="s">
        <v>336</v>
      </c>
      <c r="C41" s="210" t="s">
        <v>338</v>
      </c>
      <c r="D41" s="412">
        <f>'RFPR cover'!$C$10</f>
        <v>0.06</v>
      </c>
      <c r="E41" s="413">
        <f>'RFPR cover'!$C$10</f>
        <v>0.06</v>
      </c>
      <c r="F41" s="413">
        <f>'RFPR cover'!$C$10</f>
        <v>0.06</v>
      </c>
      <c r="G41" s="413">
        <f>'RFPR cover'!$C$10</f>
        <v>0.06</v>
      </c>
      <c r="H41" s="413">
        <f>'RFPR cover'!$C$10</f>
        <v>0.06</v>
      </c>
      <c r="I41" s="413">
        <f>'RFPR cover'!$C$10</f>
        <v>0.06</v>
      </c>
      <c r="J41" s="413">
        <f>'RFPR cover'!$C$10</f>
        <v>0.06</v>
      </c>
      <c r="K41" s="414">
        <f>'RFPR cover'!$C$10</f>
        <v>0.06</v>
      </c>
      <c r="N41" s="129"/>
    </row>
    <row r="42" spans="2:14" s="2" customFormat="1">
      <c r="B42" s="507" t="s">
        <v>337</v>
      </c>
      <c r="C42" s="210"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29"/>
    </row>
    <row r="43" spans="2:14">
      <c r="B43" s="200" t="s">
        <v>271</v>
      </c>
      <c r="C43" s="397" t="s">
        <v>338</v>
      </c>
      <c r="D43" s="406">
        <f t="shared" ref="D43:K43" si="9">D40*D42+D41*(1-D42)</f>
        <v>3.7574999999999997E-2</v>
      </c>
      <c r="E43" s="407">
        <f t="shared" si="9"/>
        <v>3.6729999999999999E-2</v>
      </c>
      <c r="F43" s="407">
        <f t="shared" si="9"/>
        <v>3.5885E-2</v>
      </c>
      <c r="G43" s="407">
        <f t="shared" si="9"/>
        <v>3.4584999999999998E-2</v>
      </c>
      <c r="H43" s="407">
        <f t="shared" si="9"/>
        <v>3.3610000000000001E-2</v>
      </c>
      <c r="I43" s="407">
        <f t="shared" si="9"/>
        <v>3.2570000000000002E-2</v>
      </c>
      <c r="J43" s="407">
        <f t="shared" si="9"/>
        <v>3.1529999999999996E-2</v>
      </c>
      <c r="K43" s="408">
        <f t="shared" si="9"/>
        <v>3.0554999999999999E-2</v>
      </c>
      <c r="L43" s="211"/>
    </row>
    <row r="44" spans="2:14">
      <c r="C44" s="223"/>
      <c r="D44" s="218"/>
      <c r="E44" s="218"/>
      <c r="F44" s="218"/>
      <c r="G44" s="218"/>
      <c r="H44" s="218"/>
      <c r="I44" s="218"/>
      <c r="J44" s="218"/>
      <c r="K44" s="218"/>
    </row>
    <row r="45" spans="2:14">
      <c r="B45" s="372" t="s">
        <v>339</v>
      </c>
      <c r="C45" s="397" t="str">
        <f>'RFPR cover'!$C$14</f>
        <v>£m 12/13</v>
      </c>
      <c r="D45" s="95">
        <f t="shared" ref="D45:K45" si="10">D47*D42</f>
        <v>988.76282524769772</v>
      </c>
      <c r="E45" s="96">
        <f t="shared" si="10"/>
        <v>1021.8775228887655</v>
      </c>
      <c r="F45" s="96">
        <f t="shared" si="10"/>
        <v>1056.2036673244031</v>
      </c>
      <c r="G45" s="96">
        <f t="shared" si="10"/>
        <v>1092.3344769990922</v>
      </c>
      <c r="H45" s="96">
        <f t="shared" si="10"/>
        <v>1120.9170047161729</v>
      </c>
      <c r="I45" s="96">
        <f t="shared" si="10"/>
        <v>1137.9555126303305</v>
      </c>
      <c r="J45" s="96">
        <f t="shared" si="10"/>
        <v>1152.927535678004</v>
      </c>
      <c r="K45" s="97">
        <f t="shared" si="10"/>
        <v>1168.4758794363822</v>
      </c>
    </row>
    <row r="46" spans="2:14">
      <c r="B46" s="372" t="s">
        <v>231</v>
      </c>
      <c r="C46" s="397" t="str">
        <f>'RFPR cover'!$C$14</f>
        <v>£m 12/13</v>
      </c>
      <c r="D46" s="522">
        <f t="shared" ref="D46:K46" si="11">D47*(1-D42)</f>
        <v>532.41075205645257</v>
      </c>
      <c r="E46" s="523">
        <f t="shared" si="11"/>
        <v>550.24174309395062</v>
      </c>
      <c r="F46" s="523">
        <f t="shared" si="11"/>
        <v>568.72505163621702</v>
      </c>
      <c r="G46" s="523">
        <f t="shared" si="11"/>
        <v>588.18010299951118</v>
      </c>
      <c r="H46" s="523">
        <f t="shared" si="11"/>
        <v>603.57069484716999</v>
      </c>
      <c r="I46" s="523">
        <f t="shared" si="11"/>
        <v>612.74527603171646</v>
      </c>
      <c r="J46" s="523">
        <f t="shared" si="11"/>
        <v>620.80713459584831</v>
      </c>
      <c r="K46" s="524">
        <f t="shared" si="11"/>
        <v>629.1793196965134</v>
      </c>
    </row>
    <row r="47" spans="2:14">
      <c r="B47" s="200" t="s">
        <v>230</v>
      </c>
      <c r="C47" s="210" t="str">
        <f>'RFPR cover'!$C$14</f>
        <v>£m 12/13</v>
      </c>
      <c r="D47" s="102">
        <f t="shared" ref="D47:K47" si="12">AVERAGE(D16,D29*(1/(1+D43)))</f>
        <v>1521.1735773041503</v>
      </c>
      <c r="E47" s="103">
        <f t="shared" si="12"/>
        <v>1572.1192659827161</v>
      </c>
      <c r="F47" s="103">
        <f t="shared" si="12"/>
        <v>1624.9287189606202</v>
      </c>
      <c r="G47" s="103">
        <f t="shared" si="12"/>
        <v>1680.5145799986035</v>
      </c>
      <c r="H47" s="103">
        <f t="shared" si="12"/>
        <v>1724.4876995633429</v>
      </c>
      <c r="I47" s="103">
        <f t="shared" si="12"/>
        <v>1750.700788662047</v>
      </c>
      <c r="J47" s="103">
        <f t="shared" si="12"/>
        <v>1773.7346702738523</v>
      </c>
      <c r="K47" s="104">
        <f t="shared" si="12"/>
        <v>1797.6551991328956</v>
      </c>
      <c r="N47" s="214"/>
    </row>
    <row r="48" spans="2:14">
      <c r="B48" s="200"/>
      <c r="C48" s="210"/>
      <c r="D48" s="210"/>
      <c r="E48" s="210"/>
      <c r="F48" s="210"/>
      <c r="G48" s="210"/>
      <c r="H48" s="210"/>
      <c r="I48" s="210"/>
      <c r="J48" s="210"/>
      <c r="K48" s="210"/>
      <c r="N48" s="214"/>
    </row>
    <row r="49" spans="2:14">
      <c r="B49" s="372" t="s">
        <v>340</v>
      </c>
      <c r="C49" s="397" t="str">
        <f>'RFPR cover'!$C$14</f>
        <v>£m 12/13</v>
      </c>
      <c r="D49" s="730">
        <f>D40*D45</f>
        <v>25.213452043816289</v>
      </c>
      <c r="E49" s="731">
        <f t="shared" ref="D49:K50" si="13">E40*E45</f>
        <v>24.729436053908124</v>
      </c>
      <c r="F49" s="731">
        <f t="shared" si="13"/>
        <v>24.18706398172883</v>
      </c>
      <c r="G49" s="731">
        <f t="shared" si="13"/>
        <v>22.829790569281027</v>
      </c>
      <c r="H49" s="731">
        <f t="shared" si="13"/>
        <v>21.745789891493754</v>
      </c>
      <c r="I49" s="731">
        <f t="shared" si="13"/>
        <v>20.255608124819883</v>
      </c>
      <c r="J49" s="731">
        <f t="shared" si="13"/>
        <v>18.677426077983664</v>
      </c>
      <c r="K49" s="732">
        <f t="shared" si="13"/>
        <v>17.176595427714819</v>
      </c>
    </row>
    <row r="50" spans="2:14">
      <c r="B50" s="372" t="s">
        <v>228</v>
      </c>
      <c r="C50" s="397" t="str">
        <f>'RFPR cover'!$C$14</f>
        <v>£m 12/13</v>
      </c>
      <c r="D50" s="92">
        <f t="shared" si="13"/>
        <v>31.944645123387154</v>
      </c>
      <c r="E50" s="93">
        <f t="shared" si="13"/>
        <v>33.014504585637034</v>
      </c>
      <c r="F50" s="93">
        <f t="shared" si="13"/>
        <v>34.123503098173018</v>
      </c>
      <c r="G50" s="93">
        <f t="shared" si="13"/>
        <v>35.290806179970666</v>
      </c>
      <c r="H50" s="93">
        <f t="shared" si="13"/>
        <v>36.2142416908302</v>
      </c>
      <c r="I50" s="93">
        <f t="shared" si="13"/>
        <v>36.764716561902986</v>
      </c>
      <c r="J50" s="93">
        <f t="shared" si="13"/>
        <v>37.248428075750894</v>
      </c>
      <c r="K50" s="94">
        <f t="shared" si="13"/>
        <v>37.750759181790805</v>
      </c>
      <c r="N50" s="214"/>
    </row>
    <row r="51" spans="2:14">
      <c r="B51" s="200" t="s">
        <v>342</v>
      </c>
      <c r="C51" s="397" t="str">
        <f>'RFPR cover'!$C$14</f>
        <v>£m 12/13</v>
      </c>
      <c r="D51" s="102">
        <f>SUM(D49:D50)</f>
        <v>57.158097167203444</v>
      </c>
      <c r="E51" s="103">
        <f t="shared" ref="E51:K51" si="14">SUM(E49:E50)</f>
        <v>57.743940639545158</v>
      </c>
      <c r="F51" s="103">
        <f t="shared" si="14"/>
        <v>58.310567079901844</v>
      </c>
      <c r="G51" s="103">
        <f t="shared" si="14"/>
        <v>58.120596749251689</v>
      </c>
      <c r="H51" s="103">
        <f t="shared" si="14"/>
        <v>57.96003158232395</v>
      </c>
      <c r="I51" s="103">
        <f t="shared" si="14"/>
        <v>57.020324686722873</v>
      </c>
      <c r="J51" s="103">
        <f t="shared" si="14"/>
        <v>55.925854153734562</v>
      </c>
      <c r="K51" s="104">
        <f t="shared" si="14"/>
        <v>54.927354609505628</v>
      </c>
      <c r="N51" s="214"/>
    </row>
    <row r="53" spans="2:14" s="31" customFormat="1">
      <c r="B53" s="372" t="s">
        <v>339</v>
      </c>
      <c r="C53" s="266" t="s">
        <v>128</v>
      </c>
      <c r="D53" s="95">
        <f t="shared" ref="D53:K54" si="15">D$35*D45</f>
        <v>1048.4017821292978</v>
      </c>
      <c r="E53" s="96">
        <f t="shared" si="15"/>
        <v>1106.7308410967191</v>
      </c>
      <c r="F53" s="96">
        <f t="shared" si="15"/>
        <v>1186.7123235999468</v>
      </c>
      <c r="G53" s="96">
        <f t="shared" si="15"/>
        <v>1264.8088117284512</v>
      </c>
      <c r="H53" s="96">
        <f t="shared" si="15"/>
        <v>1331.5032597720156</v>
      </c>
      <c r="I53" s="96">
        <f t="shared" si="15"/>
        <v>1368.1356083188812</v>
      </c>
      <c r="J53" s="96">
        <f t="shared" si="15"/>
        <v>1422.8687058575501</v>
      </c>
      <c r="K53" s="97">
        <f t="shared" si="15"/>
        <v>1486.4007347048089</v>
      </c>
      <c r="L53" s="234"/>
      <c r="N53" s="212"/>
    </row>
    <row r="54" spans="2:14" s="31" customFormat="1">
      <c r="B54" s="372" t="s">
        <v>231</v>
      </c>
      <c r="C54" s="266" t="s">
        <v>128</v>
      </c>
      <c r="D54" s="522">
        <f t="shared" si="15"/>
        <v>564.52403653116028</v>
      </c>
      <c r="E54" s="523">
        <f t="shared" si="15"/>
        <v>595.93199135977181</v>
      </c>
      <c r="F54" s="523">
        <f t="shared" si="15"/>
        <v>638.9989434768944</v>
      </c>
      <c r="G54" s="523">
        <f t="shared" si="15"/>
        <v>681.05089862301213</v>
      </c>
      <c r="H54" s="523">
        <f t="shared" si="15"/>
        <v>716.96329372339301</v>
      </c>
      <c r="I54" s="523">
        <f t="shared" si="15"/>
        <v>736.6884044793976</v>
      </c>
      <c r="J54" s="523">
        <f t="shared" si="15"/>
        <v>766.16007238483473</v>
      </c>
      <c r="K54" s="524">
        <f t="shared" si="15"/>
        <v>800.36962637951228</v>
      </c>
      <c r="L54" s="234"/>
      <c r="N54" s="212"/>
    </row>
    <row r="55" spans="2:14">
      <c r="B55" s="200" t="s">
        <v>341</v>
      </c>
      <c r="C55" s="266" t="s">
        <v>128</v>
      </c>
      <c r="D55" s="733">
        <f>SUM(D53:D54)</f>
        <v>1612.9258186604579</v>
      </c>
      <c r="E55" s="734">
        <f t="shared" ref="E55:K55" si="16">SUM(E53:E54)</f>
        <v>1702.6628324564908</v>
      </c>
      <c r="F55" s="734">
        <f t="shared" si="16"/>
        <v>1825.7112670768411</v>
      </c>
      <c r="G55" s="734">
        <f t="shared" si="16"/>
        <v>1945.8597103514635</v>
      </c>
      <c r="H55" s="734">
        <f t="shared" si="16"/>
        <v>2048.4665534954083</v>
      </c>
      <c r="I55" s="734">
        <f t="shared" si="16"/>
        <v>2104.824012798279</v>
      </c>
      <c r="J55" s="734">
        <f t="shared" si="16"/>
        <v>2189.0287782423848</v>
      </c>
      <c r="K55" s="735">
        <f t="shared" si="16"/>
        <v>2286.7703610843209</v>
      </c>
    </row>
    <row r="56" spans="2:14" s="31" customFormat="1">
      <c r="B56" s="200"/>
      <c r="C56" s="210"/>
      <c r="D56" s="210"/>
      <c r="E56" s="210"/>
      <c r="F56" s="210"/>
      <c r="G56" s="210"/>
      <c r="H56" s="210"/>
      <c r="I56" s="210"/>
      <c r="J56" s="210"/>
      <c r="K56" s="210"/>
      <c r="L56" s="234"/>
      <c r="N56" s="212"/>
    </row>
    <row r="57" spans="2:14" s="31" customFormat="1">
      <c r="B57" s="372" t="s">
        <v>340</v>
      </c>
      <c r="C57" s="266" t="s">
        <v>128</v>
      </c>
      <c r="D57" s="95">
        <f t="shared" ref="D57:K58" si="17">D$35*D49</f>
        <v>26.734245444297091</v>
      </c>
      <c r="E57" s="96">
        <f t="shared" si="17"/>
        <v>26.782886354540604</v>
      </c>
      <c r="F57" s="96">
        <f t="shared" si="17"/>
        <v>27.175712210438782</v>
      </c>
      <c r="G57" s="96">
        <f t="shared" si="17"/>
        <v>26.434504165124629</v>
      </c>
      <c r="H57" s="96">
        <f t="shared" si="17"/>
        <v>25.831163239577101</v>
      </c>
      <c r="I57" s="96">
        <f t="shared" si="17"/>
        <v>24.352813828076084</v>
      </c>
      <c r="J57" s="96">
        <f t="shared" si="17"/>
        <v>23.050473034892313</v>
      </c>
      <c r="K57" s="97">
        <f t="shared" si="17"/>
        <v>21.850090800160689</v>
      </c>
      <c r="L57" s="234"/>
      <c r="N57" s="212"/>
    </row>
    <row r="58" spans="2:14">
      <c r="B58" s="372" t="s">
        <v>237</v>
      </c>
      <c r="C58" s="266" t="s">
        <v>128</v>
      </c>
      <c r="D58" s="736">
        <f t="shared" si="17"/>
        <v>33.871442191869619</v>
      </c>
      <c r="E58" s="737">
        <f t="shared" si="17"/>
        <v>35.755919481586311</v>
      </c>
      <c r="F58" s="737">
        <f t="shared" si="17"/>
        <v>38.339936608613662</v>
      </c>
      <c r="G58" s="737">
        <f t="shared" si="17"/>
        <v>40.863053917380725</v>
      </c>
      <c r="H58" s="737">
        <f t="shared" si="17"/>
        <v>43.017797623403581</v>
      </c>
      <c r="I58" s="737">
        <f t="shared" si="17"/>
        <v>44.201304268763856</v>
      </c>
      <c r="J58" s="737">
        <f t="shared" si="17"/>
        <v>45.969604343090076</v>
      </c>
      <c r="K58" s="738">
        <f t="shared" si="17"/>
        <v>48.022177582770738</v>
      </c>
    </row>
    <row r="59" spans="2:14">
      <c r="B59" s="200" t="s">
        <v>342</v>
      </c>
      <c r="C59" s="266" t="s">
        <v>128</v>
      </c>
      <c r="D59" s="102">
        <f t="shared" ref="D59:K59" si="18">SUM(D57:D58)</f>
        <v>60.605687636166707</v>
      </c>
      <c r="E59" s="103">
        <f t="shared" si="18"/>
        <v>62.538805836126912</v>
      </c>
      <c r="F59" s="103">
        <f t="shared" si="18"/>
        <v>65.515648819052444</v>
      </c>
      <c r="G59" s="103">
        <f t="shared" si="18"/>
        <v>67.297558082505361</v>
      </c>
      <c r="H59" s="103">
        <f t="shared" si="18"/>
        <v>68.848960862980675</v>
      </c>
      <c r="I59" s="103">
        <f t="shared" si="18"/>
        <v>68.554118096839943</v>
      </c>
      <c r="J59" s="103">
        <f t="shared" si="18"/>
        <v>69.020077377982389</v>
      </c>
      <c r="K59" s="104">
        <f t="shared" si="18"/>
        <v>69.872268382931424</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26" t="s">
        <v>259</v>
      </c>
      <c r="B1" s="922"/>
      <c r="C1" s="256"/>
      <c r="D1" s="256"/>
      <c r="E1" s="256"/>
      <c r="F1" s="256"/>
      <c r="G1" s="256"/>
      <c r="H1" s="256"/>
      <c r="I1" s="257"/>
      <c r="J1" s="257"/>
      <c r="K1" s="258"/>
      <c r="L1" s="259"/>
    </row>
    <row r="2" spans="1:13" s="31" customFormat="1" ht="20.25">
      <c r="A2" s="915" t="str">
        <f>'RFPR cover'!C5</f>
        <v>SPMW</v>
      </c>
      <c r="B2" s="907"/>
      <c r="C2" s="29"/>
      <c r="D2" s="29"/>
      <c r="E2" s="29"/>
      <c r="F2" s="29"/>
      <c r="G2" s="29"/>
      <c r="H2" s="29"/>
      <c r="I2" s="27"/>
      <c r="J2" s="27"/>
      <c r="K2" s="27"/>
      <c r="L2" s="123"/>
    </row>
    <row r="3" spans="1:13" s="31" customFormat="1" ht="20.25">
      <c r="A3" s="918">
        <f>'RFPR cover'!C7</f>
        <v>2021</v>
      </c>
      <c r="B3" s="925"/>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Forecast</v>
      </c>
      <c r="J5" s="390" t="str">
        <f>IF(J6&lt;=('RFPR cover'!$C$7-1),"Actuals","Forecast")</f>
        <v>Forecast</v>
      </c>
      <c r="K5" s="390"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30"/>
      <c r="E7" s="430"/>
      <c r="F7" s="430"/>
      <c r="G7" s="430"/>
      <c r="H7" s="430"/>
      <c r="I7" s="430"/>
      <c r="J7" s="430"/>
      <c r="K7" s="430"/>
    </row>
    <row r="8" spans="1:13" s="2" customFormat="1">
      <c r="B8" s="369" t="s">
        <v>350</v>
      </c>
      <c r="C8" s="293"/>
      <c r="D8" s="293"/>
      <c r="E8" s="293"/>
      <c r="F8" s="293"/>
      <c r="G8" s="293"/>
      <c r="H8" s="293"/>
      <c r="I8" s="293"/>
      <c r="J8" s="293"/>
      <c r="K8" s="293"/>
      <c r="L8" s="293"/>
    </row>
    <row r="9" spans="1:13" s="2" customFormat="1">
      <c r="B9" s="369" t="s">
        <v>455</v>
      </c>
      <c r="C9" s="293"/>
      <c r="D9" s="293"/>
      <c r="E9" s="293"/>
      <c r="F9" s="293"/>
      <c r="G9" s="293"/>
      <c r="H9" s="293"/>
      <c r="I9" s="293"/>
      <c r="J9" s="293"/>
      <c r="K9" s="293"/>
      <c r="L9" s="293"/>
    </row>
    <row r="10" spans="1:13" s="2" customFormat="1">
      <c r="B10" s="369" t="s">
        <v>351</v>
      </c>
      <c r="C10" s="293"/>
      <c r="D10" s="293"/>
      <c r="E10" s="293"/>
      <c r="F10" s="293"/>
      <c r="G10" s="293"/>
      <c r="H10" s="293"/>
      <c r="I10" s="293"/>
      <c r="J10" s="293"/>
      <c r="K10" s="293"/>
      <c r="L10" s="293"/>
    </row>
    <row r="11" spans="1:13" s="35" customFormat="1">
      <c r="B11" s="429"/>
    </row>
    <row r="12" spans="1:13">
      <c r="B12" s="199" t="s">
        <v>517</v>
      </c>
      <c r="C12" s="266" t="s">
        <v>128</v>
      </c>
      <c r="D12" s="640">
        <v>16.525522400000003</v>
      </c>
      <c r="E12" s="641">
        <v>2.8361433900000002</v>
      </c>
      <c r="F12" s="641">
        <v>8.6759842500000008</v>
      </c>
      <c r="G12" s="641">
        <v>16.616330300000001</v>
      </c>
      <c r="H12" s="641">
        <v>0</v>
      </c>
      <c r="I12" s="641"/>
      <c r="J12" s="641"/>
      <c r="K12" s="642"/>
    </row>
    <row r="13" spans="1:13">
      <c r="B13" s="14"/>
      <c r="C13" s="14"/>
      <c r="D13" s="739"/>
      <c r="E13" s="739"/>
      <c r="F13" s="739"/>
      <c r="G13" s="739"/>
      <c r="H13" s="739"/>
      <c r="I13" s="739"/>
      <c r="J13" s="739"/>
      <c r="K13" s="739"/>
    </row>
    <row r="14" spans="1:13">
      <c r="B14" s="14" t="s">
        <v>454</v>
      </c>
      <c r="C14" s="266"/>
      <c r="D14" s="739"/>
      <c r="E14" s="739"/>
      <c r="F14" s="739"/>
      <c r="G14" s="739"/>
      <c r="H14" s="739"/>
      <c r="I14" s="739"/>
      <c r="J14" s="739"/>
      <c r="K14" s="739"/>
    </row>
    <row r="15" spans="1:13">
      <c r="B15" s="370" t="s">
        <v>476</v>
      </c>
      <c r="C15" s="266" t="s">
        <v>128</v>
      </c>
      <c r="D15" s="596">
        <v>0</v>
      </c>
      <c r="E15" s="597">
        <v>0</v>
      </c>
      <c r="F15" s="597">
        <v>0</v>
      </c>
      <c r="G15" s="597">
        <v>0</v>
      </c>
      <c r="H15" s="597">
        <v>0</v>
      </c>
      <c r="I15" s="597"/>
      <c r="J15" s="597"/>
      <c r="K15" s="607"/>
    </row>
    <row r="16" spans="1:13">
      <c r="B16" s="431" t="s">
        <v>22</v>
      </c>
      <c r="C16" s="266" t="s">
        <v>128</v>
      </c>
      <c r="D16" s="596">
        <v>0</v>
      </c>
      <c r="E16" s="597">
        <v>0</v>
      </c>
      <c r="F16" s="597">
        <v>0</v>
      </c>
      <c r="G16" s="597">
        <v>0</v>
      </c>
      <c r="H16" s="597">
        <v>0</v>
      </c>
      <c r="I16" s="597"/>
      <c r="J16" s="597"/>
      <c r="K16" s="607"/>
    </row>
    <row r="17" spans="2:12">
      <c r="B17" s="431" t="s">
        <v>22</v>
      </c>
      <c r="C17" s="266" t="s">
        <v>128</v>
      </c>
      <c r="D17" s="596">
        <v>0</v>
      </c>
      <c r="E17" s="597">
        <v>0</v>
      </c>
      <c r="F17" s="597">
        <v>0</v>
      </c>
      <c r="G17" s="597">
        <v>0</v>
      </c>
      <c r="H17" s="597">
        <v>0</v>
      </c>
      <c r="I17" s="597"/>
      <c r="J17" s="597"/>
      <c r="K17" s="607"/>
    </row>
    <row r="18" spans="2:12">
      <c r="B18" s="431" t="s">
        <v>22</v>
      </c>
      <c r="C18" s="266" t="s">
        <v>128</v>
      </c>
      <c r="D18" s="596">
        <v>0</v>
      </c>
      <c r="E18" s="597">
        <v>0</v>
      </c>
      <c r="F18" s="597">
        <v>0</v>
      </c>
      <c r="G18" s="597">
        <v>0</v>
      </c>
      <c r="H18" s="597">
        <v>0</v>
      </c>
      <c r="I18" s="597"/>
      <c r="J18" s="597"/>
      <c r="K18" s="607"/>
    </row>
    <row r="19" spans="2:12">
      <c r="B19" s="268" t="s">
        <v>352</v>
      </c>
      <c r="C19" s="266" t="s">
        <v>128</v>
      </c>
      <c r="D19" s="740">
        <f>SUM(D15:D18)</f>
        <v>0</v>
      </c>
      <c r="E19" s="741">
        <f t="shared" ref="E19:K19" si="1">SUM(E15:E18)</f>
        <v>0</v>
      </c>
      <c r="F19" s="741">
        <f t="shared" si="1"/>
        <v>0</v>
      </c>
      <c r="G19" s="741">
        <f t="shared" si="1"/>
        <v>0</v>
      </c>
      <c r="H19" s="741">
        <f t="shared" si="1"/>
        <v>0</v>
      </c>
      <c r="I19" s="741">
        <f t="shared" si="1"/>
        <v>0</v>
      </c>
      <c r="J19" s="741">
        <f t="shared" si="1"/>
        <v>0</v>
      </c>
      <c r="K19" s="742">
        <f t="shared" si="1"/>
        <v>0</v>
      </c>
    </row>
    <row r="20" spans="2:12" s="31" customFormat="1">
      <c r="B20" s="370"/>
      <c r="C20" s="370"/>
      <c r="D20" s="743"/>
      <c r="E20" s="743"/>
      <c r="F20" s="743"/>
      <c r="G20" s="743"/>
      <c r="H20" s="743"/>
      <c r="I20" s="743"/>
      <c r="J20" s="743"/>
      <c r="K20" s="743"/>
      <c r="L20" s="370"/>
    </row>
    <row r="21" spans="2:12">
      <c r="B21" s="14" t="s">
        <v>331</v>
      </c>
      <c r="C21" s="266"/>
      <c r="D21" s="744"/>
      <c r="E21" s="744"/>
      <c r="F21" s="744"/>
      <c r="G21" s="744"/>
      <c r="H21" s="744"/>
      <c r="I21" s="744"/>
      <c r="J21" s="744"/>
      <c r="K21" s="744"/>
      <c r="L21" s="266"/>
    </row>
    <row r="22" spans="2:12">
      <c r="B22" s="370" t="s">
        <v>477</v>
      </c>
      <c r="C22" s="266" t="s">
        <v>128</v>
      </c>
      <c r="D22" s="859">
        <f>('R5 - Output Incentives'!D102)*INDEX(Data!$G$14:$G$30,MATCH('R10 - Tax'!D$6,Data!$C$14:$C$30,0),1)</f>
        <v>0.93932324999999983</v>
      </c>
      <c r="E22" s="860">
        <f>('R5 - Output Incentives'!E102)*INDEX(Data!$G$14:$G$30,MATCH('R10 - Tax'!E$6,Data!$C$14:$C$30,0),1)</f>
        <v>1.4324174549999995</v>
      </c>
      <c r="F22" s="860">
        <f>('R5 - Output Incentives'!F102)*INDEX(Data!$G$14:$G$30,MATCH('R10 - Tax'!F$6,Data!$C$14:$C$30,0),1)</f>
        <v>2.229866282651471</v>
      </c>
      <c r="G22" s="860">
        <f>('R5 - Output Incentives'!G102)*INDEX(Data!$G$14:$G$30,MATCH('R10 - Tax'!G$6,Data!$C$14:$C$30,0),1)</f>
        <v>1.4050583574842206</v>
      </c>
      <c r="H22" s="862">
        <f>('R5 - Output Incentives'!H102)*INDEX(Data!$G$14:$G$30,MATCH('R10 - Tax'!H$6,Data!$C$14:$C$30,0),1)</f>
        <v>1.8605186147689234</v>
      </c>
      <c r="I22" s="862">
        <f>('R5 - Output Incentives'!I102)*INDEX(Data!$G$14:$G$30,MATCH('R10 - Tax'!I$6,Data!$C$14:$C$30,0),1)</f>
        <v>1.5282600604409851</v>
      </c>
      <c r="J22" s="862">
        <f>('R5 - Output Incentives'!J102)*INDEX(Data!$G$14:$G$30,MATCH('R10 - Tax'!J$6,Data!$C$14:$C$30,0),1)</f>
        <v>1.5780381277259816</v>
      </c>
      <c r="K22" s="863">
        <f>('R5 - Output Incentives'!K102)*INDEX(Data!$G$14:$G$30,MATCH('R10 - Tax'!K$6,Data!$C$14:$C$30,0),1)</f>
        <v>1.1518513669253783</v>
      </c>
    </row>
    <row r="23" spans="2:12">
      <c r="B23" s="370" t="s">
        <v>478</v>
      </c>
      <c r="C23" s="266" t="s">
        <v>128</v>
      </c>
      <c r="D23" s="600">
        <f>('R4 - Totex'!D77-'R4 - Totex'!D79)*D39</f>
        <v>0</v>
      </c>
      <c r="E23" s="602">
        <f>('R4 - Totex'!E77-'R4 - Totex'!E79)*E39</f>
        <v>0</v>
      </c>
      <c r="F23" s="602">
        <f>('R4 - Totex'!F77-'R4 - Totex'!F79)*F39</f>
        <v>0</v>
      </c>
      <c r="G23" s="602">
        <f>('R4 - Totex'!G77-'R4 - Totex'!G79)*G39</f>
        <v>0</v>
      </c>
      <c r="H23" s="864">
        <f>('R4 - Totex'!H77-'R4 - Totex'!H79)*H39</f>
        <v>0</v>
      </c>
      <c r="I23" s="864">
        <f>('R4 - Totex'!I77-'R4 - Totex'!I79)*I39</f>
        <v>0</v>
      </c>
      <c r="J23" s="864">
        <f>('R4 - Totex'!J77-'R4 - Totex'!J79)*J39</f>
        <v>0</v>
      </c>
      <c r="K23" s="865">
        <f>('R4 - Totex'!K77-'R4 - Totex'!K79)*K39</f>
        <v>0</v>
      </c>
    </row>
    <row r="24" spans="2:12">
      <c r="B24" s="370" t="s">
        <v>479</v>
      </c>
      <c r="C24" s="266" t="s">
        <v>128</v>
      </c>
      <c r="D24" s="598">
        <v>0</v>
      </c>
      <c r="E24" s="599">
        <v>0</v>
      </c>
      <c r="F24" s="599">
        <v>0</v>
      </c>
      <c r="G24" s="599">
        <v>0</v>
      </c>
      <c r="H24" s="599">
        <v>0</v>
      </c>
      <c r="I24" s="599"/>
      <c r="J24" s="599"/>
      <c r="K24" s="608"/>
    </row>
    <row r="25" spans="2:12">
      <c r="B25" s="370" t="s">
        <v>480</v>
      </c>
      <c r="C25" s="266" t="s">
        <v>128</v>
      </c>
      <c r="D25" s="598">
        <v>0</v>
      </c>
      <c r="E25" s="599">
        <v>0</v>
      </c>
      <c r="F25" s="599">
        <v>0</v>
      </c>
      <c r="G25" s="599">
        <v>0</v>
      </c>
      <c r="H25" s="599">
        <v>0</v>
      </c>
      <c r="I25" s="599"/>
      <c r="J25" s="599"/>
      <c r="K25" s="608"/>
    </row>
    <row r="26" spans="2:12">
      <c r="B26" s="370" t="s">
        <v>481</v>
      </c>
      <c r="C26" s="266" t="s">
        <v>128</v>
      </c>
      <c r="D26" s="598">
        <v>0</v>
      </c>
      <c r="E26" s="599">
        <v>0</v>
      </c>
      <c r="F26" s="599">
        <v>0</v>
      </c>
      <c r="G26" s="599">
        <v>0</v>
      </c>
      <c r="H26" s="599">
        <v>0</v>
      </c>
      <c r="I26" s="599"/>
      <c r="J26" s="599"/>
      <c r="K26" s="608"/>
    </row>
    <row r="27" spans="2:12">
      <c r="B27" s="370" t="s">
        <v>482</v>
      </c>
      <c r="C27" s="266" t="s">
        <v>128</v>
      </c>
      <c r="D27" s="598">
        <v>0</v>
      </c>
      <c r="E27" s="599">
        <v>0</v>
      </c>
      <c r="F27" s="599">
        <v>0</v>
      </c>
      <c r="G27" s="599">
        <v>0</v>
      </c>
      <c r="H27" s="599">
        <v>0</v>
      </c>
      <c r="I27" s="599"/>
      <c r="J27" s="599"/>
      <c r="K27" s="608"/>
    </row>
    <row r="28" spans="2:12">
      <c r="B28" s="370" t="s">
        <v>558</v>
      </c>
      <c r="C28" s="266" t="s">
        <v>128</v>
      </c>
      <c r="D28" s="598">
        <v>0</v>
      </c>
      <c r="E28" s="599">
        <v>0</v>
      </c>
      <c r="F28" s="599">
        <v>0</v>
      </c>
      <c r="G28" s="599">
        <v>0</v>
      </c>
      <c r="H28" s="599">
        <v>0</v>
      </c>
      <c r="I28" s="599"/>
      <c r="J28" s="599"/>
      <c r="K28" s="608"/>
    </row>
    <row r="29" spans="2:12">
      <c r="B29" s="431" t="s">
        <v>575</v>
      </c>
      <c r="C29" s="266" t="s">
        <v>128</v>
      </c>
      <c r="D29" s="598">
        <v>-6.4800384000000006</v>
      </c>
      <c r="E29" s="599">
        <v>-10.196249400000001</v>
      </c>
      <c r="F29" s="599">
        <v>4.4272557400000006</v>
      </c>
      <c r="G29" s="599">
        <v>5.9824524800000001</v>
      </c>
      <c r="H29" s="599">
        <v>0</v>
      </c>
      <c r="I29" s="599"/>
      <c r="J29" s="599"/>
      <c r="K29" s="608"/>
    </row>
    <row r="30" spans="2:12">
      <c r="B30" s="431" t="s">
        <v>576</v>
      </c>
      <c r="C30" s="266" t="s">
        <v>128</v>
      </c>
      <c r="D30" s="598">
        <v>0</v>
      </c>
      <c r="E30" s="599">
        <v>-0.11102341000000016</v>
      </c>
      <c r="F30" s="599">
        <v>0</v>
      </c>
      <c r="G30" s="599">
        <v>0</v>
      </c>
      <c r="H30" s="599">
        <v>0</v>
      </c>
      <c r="I30" s="599"/>
      <c r="J30" s="599"/>
      <c r="K30" s="608"/>
    </row>
    <row r="31" spans="2:12">
      <c r="B31" s="431" t="s">
        <v>577</v>
      </c>
      <c r="C31" s="266" t="s">
        <v>128</v>
      </c>
      <c r="D31" s="598">
        <v>15.936125876966802</v>
      </c>
      <c r="E31" s="599">
        <v>6.104239037020168</v>
      </c>
      <c r="F31" s="599">
        <v>-3.9145176853490593</v>
      </c>
      <c r="G31" s="599">
        <v>4.2884999508374806</v>
      </c>
      <c r="H31" s="599">
        <v>0</v>
      </c>
      <c r="I31" s="599"/>
      <c r="J31" s="599"/>
      <c r="K31" s="608"/>
    </row>
    <row r="32" spans="2:12">
      <c r="B32" s="431" t="s">
        <v>22</v>
      </c>
      <c r="C32" s="266" t="s">
        <v>128</v>
      </c>
      <c r="D32" s="598">
        <v>0</v>
      </c>
      <c r="E32" s="599">
        <v>0</v>
      </c>
      <c r="F32" s="599">
        <v>0</v>
      </c>
      <c r="G32" s="599">
        <v>0</v>
      </c>
      <c r="H32" s="599">
        <v>0</v>
      </c>
      <c r="I32" s="599"/>
      <c r="J32" s="599"/>
      <c r="K32" s="608"/>
    </row>
    <row r="33" spans="2:13">
      <c r="B33" s="431" t="s">
        <v>20</v>
      </c>
      <c r="C33" s="266" t="s">
        <v>128</v>
      </c>
      <c r="D33" s="609">
        <v>0</v>
      </c>
      <c r="E33" s="610">
        <v>0</v>
      </c>
      <c r="F33" s="610">
        <v>0</v>
      </c>
      <c r="G33" s="610">
        <v>0</v>
      </c>
      <c r="H33" s="610">
        <v>0</v>
      </c>
      <c r="I33" s="610"/>
      <c r="J33" s="610"/>
      <c r="K33" s="611"/>
    </row>
    <row r="34" spans="2:13">
      <c r="B34" s="14" t="s">
        <v>176</v>
      </c>
      <c r="C34" s="266" t="s">
        <v>128</v>
      </c>
      <c r="D34" s="745">
        <f t="shared" ref="D34:K34" si="2">SUM(D22:D33)</f>
        <v>10.395410726966801</v>
      </c>
      <c r="E34" s="746">
        <f t="shared" si="2"/>
        <v>-2.7706163179798331</v>
      </c>
      <c r="F34" s="746">
        <f t="shared" si="2"/>
        <v>2.7426043373024118</v>
      </c>
      <c r="G34" s="746">
        <f t="shared" si="2"/>
        <v>11.676010788321701</v>
      </c>
      <c r="H34" s="746">
        <f t="shared" si="2"/>
        <v>1.8605186147689234</v>
      </c>
      <c r="I34" s="746">
        <f t="shared" si="2"/>
        <v>1.5282600604409851</v>
      </c>
      <c r="J34" s="746">
        <f t="shared" si="2"/>
        <v>1.5780381277259816</v>
      </c>
      <c r="K34" s="747">
        <f t="shared" si="2"/>
        <v>1.1518513669253783</v>
      </c>
    </row>
    <row r="36" spans="2:13" ht="12.75" customHeight="1">
      <c r="B36" s="825" t="s">
        <v>489</v>
      </c>
      <c r="C36" s="266" t="s">
        <v>128</v>
      </c>
      <c r="D36" s="640"/>
      <c r="E36" s="640"/>
      <c r="F36" s="641"/>
      <c r="G36" s="641"/>
      <c r="H36" s="641">
        <v>10.605793167198996</v>
      </c>
      <c r="I36" s="641">
        <v>11.663075631063728</v>
      </c>
      <c r="J36" s="641">
        <v>11.091031739036804</v>
      </c>
      <c r="K36" s="642">
        <v>12.120360018261279</v>
      </c>
    </row>
    <row r="37" spans="2:13" ht="12.75" customHeight="1">
      <c r="B37" s="825" t="s">
        <v>458</v>
      </c>
      <c r="C37" s="266" t="s">
        <v>128</v>
      </c>
      <c r="D37" s="745">
        <f t="shared" ref="D37:K37" si="3">D12+D36-D19-D34</f>
        <v>6.1301116730332019</v>
      </c>
      <c r="E37" s="746">
        <f>E12+E36-E19-E34</f>
        <v>5.6067597079798333</v>
      </c>
      <c r="F37" s="746">
        <f>F12+F36-F19-F34</f>
        <v>5.933379912697589</v>
      </c>
      <c r="G37" s="746">
        <f>G12+G36-G19-G34</f>
        <v>4.9403195116783003</v>
      </c>
      <c r="H37" s="746">
        <f>H12+H36-H19-H34</f>
        <v>8.7452745524300735</v>
      </c>
      <c r="I37" s="746">
        <f t="shared" si="3"/>
        <v>10.134815570622743</v>
      </c>
      <c r="J37" s="746">
        <f t="shared" si="3"/>
        <v>9.5129936113108222</v>
      </c>
      <c r="K37" s="747">
        <f t="shared" si="3"/>
        <v>10.968508651335901</v>
      </c>
    </row>
    <row r="38" spans="2:13" ht="12.75" customHeight="1">
      <c r="B38" s="482"/>
      <c r="C38" s="266"/>
      <c r="D38" s="266"/>
      <c r="E38" s="266"/>
      <c r="F38" s="266"/>
      <c r="G38" s="266"/>
      <c r="H38" s="266"/>
      <c r="I38" s="266"/>
      <c r="J38" s="266"/>
      <c r="K38" s="266"/>
    </row>
    <row r="39" spans="2:13">
      <c r="B39" s="37" t="s">
        <v>466</v>
      </c>
      <c r="C39" s="267" t="s">
        <v>127</v>
      </c>
      <c r="D39" s="112">
        <f>Data!C$34</f>
        <v>1.0603167467048125</v>
      </c>
      <c r="E39" s="112">
        <f>Data!D$34</f>
        <v>1.0830366813119445</v>
      </c>
      <c r="F39" s="112">
        <f>Data!E$34</f>
        <v>1.1235639113109226</v>
      </c>
      <c r="G39" s="112">
        <f>Data!F$34</f>
        <v>1.1578951670583426</v>
      </c>
      <c r="H39" s="112">
        <f>Data!G$34</f>
        <v>1.1878696229692449</v>
      </c>
      <c r="I39" s="112">
        <f>Data!H$34</f>
        <v>1.202275126868976</v>
      </c>
      <c r="J39" s="112">
        <f>Data!I$34</f>
        <v>1.2341354177310038</v>
      </c>
      <c r="K39" s="112">
        <f>Data!J$34</f>
        <v>1.2720850818262321</v>
      </c>
      <c r="L39" s="266"/>
    </row>
    <row r="40" spans="2:13">
      <c r="B40" s="199"/>
      <c r="C40" s="266"/>
      <c r="D40" s="266"/>
      <c r="E40" s="266"/>
      <c r="F40" s="266"/>
      <c r="G40" s="266"/>
      <c r="H40" s="266"/>
      <c r="I40" s="266"/>
      <c r="J40" s="266"/>
      <c r="K40" s="266"/>
    </row>
    <row r="41" spans="2:13">
      <c r="B41" s="545" t="s">
        <v>459</v>
      </c>
      <c r="C41" s="397" t="str">
        <f>'RFPR cover'!$C$14</f>
        <v>£m 12/13</v>
      </c>
      <c r="D41" s="790">
        <f t="shared" ref="D41:K41" si="4">D37/D39</f>
        <v>5.7813966365088429</v>
      </c>
      <c r="E41" s="791">
        <f t="shared" si="4"/>
        <v>5.1768881005840388</v>
      </c>
      <c r="F41" s="791">
        <f t="shared" si="4"/>
        <v>5.280856614355649</v>
      </c>
      <c r="G41" s="791">
        <f t="shared" si="4"/>
        <v>4.2666379929966265</v>
      </c>
      <c r="H41" s="791">
        <f t="shared" si="4"/>
        <v>7.3621501748399343</v>
      </c>
      <c r="I41" s="791">
        <f t="shared" si="4"/>
        <v>8.4296974495482822</v>
      </c>
      <c r="J41" s="791">
        <f t="shared" si="4"/>
        <v>7.7082251061238933</v>
      </c>
      <c r="K41" s="792">
        <f t="shared" si="4"/>
        <v>8.6224646511766956</v>
      </c>
    </row>
    <row r="42" spans="2:13">
      <c r="B42" s="825"/>
      <c r="C42" s="825"/>
      <c r="D42" s="825"/>
      <c r="E42" s="825"/>
      <c r="F42" s="825"/>
      <c r="G42" s="825"/>
      <c r="H42" s="825"/>
      <c r="I42" s="825"/>
      <c r="J42" s="825"/>
      <c r="K42" s="825"/>
    </row>
    <row r="43" spans="2:13">
      <c r="B43" s="833" t="s">
        <v>439</v>
      </c>
      <c r="C43" s="210"/>
      <c r="D43" s="210"/>
      <c r="E43" s="210"/>
      <c r="F43" s="210"/>
      <c r="G43" s="210"/>
      <c r="H43" s="210"/>
      <c r="I43" s="210"/>
      <c r="J43" s="210"/>
      <c r="K43" s="210"/>
    </row>
    <row r="44" spans="2:13">
      <c r="B44" s="369" t="s">
        <v>427</v>
      </c>
      <c r="C44" s="432"/>
      <c r="D44" s="432"/>
      <c r="E44" s="432"/>
      <c r="F44" s="432"/>
      <c r="G44" s="432"/>
      <c r="H44" s="432"/>
      <c r="I44" s="432"/>
      <c r="J44" s="432"/>
      <c r="K44" s="432"/>
      <c r="L44" s="432"/>
      <c r="M44" s="432"/>
    </row>
    <row r="46" spans="2:13" ht="12.75" customHeight="1">
      <c r="B46" s="213" t="s">
        <v>115</v>
      </c>
      <c r="C46" s="155" t="s">
        <v>7</v>
      </c>
      <c r="D46" s="896">
        <f>'RFPR cover'!$C$12</f>
        <v>0.65</v>
      </c>
      <c r="E46" s="897">
        <f>'RFPR cover'!$C$12</f>
        <v>0.65</v>
      </c>
      <c r="F46" s="897">
        <f>'RFPR cover'!$C$12</f>
        <v>0.65</v>
      </c>
      <c r="G46" s="897">
        <f>'RFPR cover'!$C$12</f>
        <v>0.65</v>
      </c>
      <c r="H46" s="897">
        <f>'RFPR cover'!$C$12</f>
        <v>0.65</v>
      </c>
      <c r="I46" s="897">
        <f>'RFPR cover'!$C$12</f>
        <v>0.65</v>
      </c>
      <c r="J46" s="897">
        <f>'RFPR cover'!$C$12</f>
        <v>0.65</v>
      </c>
      <c r="K46" s="898">
        <f>'RFPR cover'!$C$12</f>
        <v>0.65</v>
      </c>
    </row>
    <row r="47" spans="2:13" ht="12.75" customHeight="1">
      <c r="B47" s="213" t="s">
        <v>389</v>
      </c>
      <c r="C47" s="155" t="s">
        <v>7</v>
      </c>
      <c r="D47" s="896">
        <f>'R8 - Net Debt'!D57</f>
        <v>0.63015417557932418</v>
      </c>
      <c r="E47" s="897">
        <f>'R8 - Net Debt'!E57</f>
        <v>0.60794137636101053</v>
      </c>
      <c r="F47" s="897">
        <f>'R8 - Net Debt'!F57</f>
        <v>0.60357895101907866</v>
      </c>
      <c r="G47" s="897">
        <f>'R8 - Net Debt'!G57</f>
        <v>0.62640691071720378</v>
      </c>
      <c r="H47" s="897">
        <f>'R8 - Net Debt'!H57</f>
        <v>0.64189636573043363</v>
      </c>
      <c r="I47" s="897">
        <f>'R8 - Net Debt'!I57</f>
        <v>0.647480644916819</v>
      </c>
      <c r="J47" s="897">
        <f>'R8 - Net Debt'!J57</f>
        <v>0.65174317905109003</v>
      </c>
      <c r="K47" s="898">
        <f>'R8 - Net Debt'!K57</f>
        <v>0.65135635135201975</v>
      </c>
    </row>
    <row r="48" spans="2:13" ht="12.75" customHeight="1">
      <c r="B48" s="213"/>
      <c r="C48" s="155"/>
      <c r="D48" s="155"/>
      <c r="E48" s="155"/>
      <c r="F48" s="155"/>
      <c r="G48" s="155"/>
      <c r="H48" s="155"/>
      <c r="I48" s="155"/>
      <c r="J48" s="155"/>
      <c r="K48" s="155"/>
      <c r="L48" s="155"/>
    </row>
    <row r="49" spans="2:14" ht="12.75" customHeight="1">
      <c r="B49" s="825" t="s">
        <v>459</v>
      </c>
      <c r="C49" s="266" t="s">
        <v>128</v>
      </c>
      <c r="D49" s="790">
        <f>D37</f>
        <v>6.1301116730332019</v>
      </c>
      <c r="E49" s="790">
        <f t="shared" ref="E49:K49" si="5">E37</f>
        <v>5.6067597079798333</v>
      </c>
      <c r="F49" s="790">
        <f t="shared" si="5"/>
        <v>5.933379912697589</v>
      </c>
      <c r="G49" s="790">
        <f t="shared" si="5"/>
        <v>4.9403195116783003</v>
      </c>
      <c r="H49" s="790">
        <f t="shared" si="5"/>
        <v>8.7452745524300735</v>
      </c>
      <c r="I49" s="790">
        <f t="shared" si="5"/>
        <v>10.134815570622743</v>
      </c>
      <c r="J49" s="790">
        <f t="shared" si="5"/>
        <v>9.5129936113108222</v>
      </c>
      <c r="K49" s="790">
        <f t="shared" si="5"/>
        <v>10.968508651335901</v>
      </c>
    </row>
    <row r="50" spans="2:14">
      <c r="B50" s="213" t="s">
        <v>440</v>
      </c>
      <c r="C50" s="266" t="s">
        <v>128</v>
      </c>
      <c r="D50" s="790">
        <f>D85-D87</f>
        <v>-0.21906784591307993</v>
      </c>
      <c r="E50" s="790">
        <f t="shared" ref="E50:K50" si="6">E85-E87</f>
        <v>-0.26816845144228463</v>
      </c>
      <c r="F50" s="790">
        <f t="shared" si="6"/>
        <v>2.6441023754300907E-2</v>
      </c>
      <c r="G50" s="790">
        <f t="shared" si="6"/>
        <v>-1.7646032613963136E-2</v>
      </c>
      <c r="H50" s="790">
        <f t="shared" si="6"/>
        <v>-1.840729836582522E-2</v>
      </c>
      <c r="I50" s="790">
        <f t="shared" si="6"/>
        <v>-1.5842259530319147E-2</v>
      </c>
      <c r="J50" s="790">
        <f t="shared" si="6"/>
        <v>7.7473136210226556E-4</v>
      </c>
      <c r="K50" s="790">
        <f t="shared" si="6"/>
        <v>-2.457276560938304E-3</v>
      </c>
      <c r="L50" s="266"/>
    </row>
    <row r="51" spans="2:14" s="31" customFormat="1">
      <c r="B51" s="834" t="s">
        <v>397</v>
      </c>
      <c r="C51" s="266" t="s">
        <v>128</v>
      </c>
      <c r="D51" s="745">
        <f>SUM(D49:D50)</f>
        <v>5.911043827120122</v>
      </c>
      <c r="E51" s="746">
        <f t="shared" ref="E51:K51" si="7">SUM(E49:E50)</f>
        <v>5.3385912565375486</v>
      </c>
      <c r="F51" s="746">
        <f t="shared" si="7"/>
        <v>5.9598209364518899</v>
      </c>
      <c r="G51" s="746">
        <f t="shared" si="7"/>
        <v>4.9226734790643372</v>
      </c>
      <c r="H51" s="746">
        <f t="shared" si="7"/>
        <v>8.7268672540642491</v>
      </c>
      <c r="I51" s="746">
        <f t="shared" si="7"/>
        <v>10.118973311092425</v>
      </c>
      <c r="J51" s="746">
        <f t="shared" si="7"/>
        <v>9.5137683426729254</v>
      </c>
      <c r="K51" s="747">
        <f t="shared" si="7"/>
        <v>10.966051374774963</v>
      </c>
      <c r="L51" s="810"/>
    </row>
    <row r="53" spans="2:14">
      <c r="B53" s="834" t="s">
        <v>397</v>
      </c>
      <c r="C53" s="397" t="str">
        <f>'RFPR cover'!$C$14</f>
        <v>£m 12/13</v>
      </c>
      <c r="D53" s="745">
        <f>D51/D39</f>
        <v>5.5747905948765801</v>
      </c>
      <c r="E53" s="746">
        <f t="shared" ref="E53:K53" si="8">E51/E39</f>
        <v>4.9292801884333288</v>
      </c>
      <c r="F53" s="746">
        <f t="shared" si="8"/>
        <v>5.3043897872246939</v>
      </c>
      <c r="G53" s="746">
        <f t="shared" si="8"/>
        <v>4.2513982432196293</v>
      </c>
      <c r="H53" s="746">
        <f t="shared" si="8"/>
        <v>7.3466541153314733</v>
      </c>
      <c r="I53" s="746">
        <f t="shared" si="8"/>
        <v>8.4165205492063642</v>
      </c>
      <c r="J53" s="746">
        <f t="shared" si="8"/>
        <v>7.7088528584361375</v>
      </c>
      <c r="K53" s="747">
        <f t="shared" si="8"/>
        <v>8.620532959188445</v>
      </c>
    </row>
    <row r="54" spans="2:14">
      <c r="B54" s="834"/>
      <c r="C54" s="397"/>
      <c r="D54" s="397"/>
      <c r="E54" s="397"/>
      <c r="F54" s="397"/>
      <c r="G54" s="397"/>
      <c r="H54" s="397"/>
      <c r="I54" s="397"/>
      <c r="J54" s="397"/>
      <c r="K54" s="397"/>
    </row>
    <row r="56" spans="2:14">
      <c r="B56" s="793" t="s">
        <v>363</v>
      </c>
      <c r="C56" s="794"/>
      <c r="D56" s="794"/>
      <c r="E56" s="794"/>
      <c r="F56" s="794"/>
      <c r="G56" s="794"/>
      <c r="H56" s="794"/>
      <c r="I56" s="794"/>
      <c r="J56" s="794"/>
      <c r="K56" s="794"/>
      <c r="L56" s="794"/>
      <c r="M56" s="490"/>
    </row>
    <row r="57" spans="2:14" s="31" customFormat="1">
      <c r="B57" s="491"/>
      <c r="C57" s="490"/>
      <c r="D57" s="490"/>
      <c r="E57" s="490"/>
      <c r="F57" s="490"/>
      <c r="G57" s="490"/>
      <c r="H57" s="490"/>
      <c r="I57" s="490"/>
      <c r="J57" s="490"/>
      <c r="K57" s="490"/>
      <c r="L57" s="490"/>
      <c r="M57" s="490"/>
    </row>
    <row r="58" spans="2:14">
      <c r="B58" s="368" t="s">
        <v>460</v>
      </c>
      <c r="C58" s="293"/>
      <c r="D58" s="293"/>
      <c r="E58" s="293"/>
      <c r="F58" s="293"/>
      <c r="G58" s="293"/>
      <c r="H58" s="293"/>
      <c r="I58" s="293"/>
      <c r="J58" s="293"/>
      <c r="K58" s="293"/>
      <c r="L58" s="293"/>
      <c r="M58" s="200"/>
      <c r="N58" s="200"/>
    </row>
    <row r="59" spans="2:14" s="31" customFormat="1">
      <c r="B59" s="373"/>
      <c r="C59" s="35"/>
      <c r="D59" s="35"/>
      <c r="E59" s="35"/>
      <c r="F59" s="35"/>
      <c r="G59" s="35"/>
      <c r="H59" s="35"/>
      <c r="I59" s="35"/>
      <c r="J59" s="35"/>
      <c r="K59" s="35"/>
      <c r="L59" s="35"/>
      <c r="M59" s="37"/>
      <c r="N59" s="37"/>
    </row>
    <row r="60" spans="2:14">
      <c r="B60" s="200" t="s">
        <v>362</v>
      </c>
      <c r="C60" s="210" t="str">
        <f>'RFPR cover'!$C$14</f>
        <v>£m 12/13</v>
      </c>
      <c r="D60" s="584">
        <v>3.8182034208679272</v>
      </c>
      <c r="E60" s="585">
        <v>1.6762335927035172</v>
      </c>
      <c r="F60" s="585">
        <v>1.6627418829343201</v>
      </c>
      <c r="G60" s="585">
        <v>1.1985902361917724</v>
      </c>
      <c r="H60" s="585">
        <v>5.5017649475232728</v>
      </c>
      <c r="I60" s="585">
        <v>8.7474785913090489</v>
      </c>
      <c r="J60" s="585">
        <v>10.956221797823501</v>
      </c>
      <c r="K60" s="686">
        <v>6.3120471369470259</v>
      </c>
    </row>
    <row r="61" spans="2:14">
      <c r="B61" s="200" t="s">
        <v>365</v>
      </c>
      <c r="C61" s="210" t="str">
        <f>'RFPR cover'!$C$14</f>
        <v>£m 12/13</v>
      </c>
      <c r="D61" s="592">
        <v>0</v>
      </c>
      <c r="E61" s="593">
        <v>0</v>
      </c>
      <c r="F61" s="593">
        <v>0</v>
      </c>
      <c r="G61" s="593">
        <v>0</v>
      </c>
      <c r="H61" s="593">
        <v>4.795759948298433</v>
      </c>
      <c r="I61" s="593">
        <v>4.1105622153367172</v>
      </c>
      <c r="J61" s="593">
        <v>3.8170466137924706</v>
      </c>
      <c r="K61" s="685">
        <v>-0.30335017029921651</v>
      </c>
    </row>
    <row r="62" spans="2:14">
      <c r="B62" s="200" t="s">
        <v>366</v>
      </c>
      <c r="C62" s="210" t="str">
        <f>'RFPR cover'!$C$14</f>
        <v>£m 12/13</v>
      </c>
      <c r="D62" s="648">
        <f t="shared" ref="D62:K62" si="9">SUM(D60:D61)</f>
        <v>3.8182034208679272</v>
      </c>
      <c r="E62" s="649">
        <f t="shared" si="9"/>
        <v>1.6762335927035172</v>
      </c>
      <c r="F62" s="649">
        <f t="shared" si="9"/>
        <v>1.6627418829343201</v>
      </c>
      <c r="G62" s="649">
        <f t="shared" si="9"/>
        <v>1.1985902361917724</v>
      </c>
      <c r="H62" s="649">
        <f t="shared" si="9"/>
        <v>10.297524895821706</v>
      </c>
      <c r="I62" s="649">
        <f t="shared" si="9"/>
        <v>12.858040806645766</v>
      </c>
      <c r="J62" s="649">
        <f t="shared" si="9"/>
        <v>14.773268411615971</v>
      </c>
      <c r="K62" s="650">
        <f t="shared" si="9"/>
        <v>6.0086969666478094</v>
      </c>
    </row>
    <row r="63" spans="2:14">
      <c r="B63" s="200"/>
      <c r="C63" s="210"/>
      <c r="D63" s="210"/>
      <c r="E63" s="210"/>
      <c r="F63" s="210"/>
      <c r="G63" s="210"/>
      <c r="H63" s="210"/>
      <c r="I63" s="210"/>
      <c r="J63" s="210"/>
      <c r="K63" s="210"/>
      <c r="L63" s="210"/>
    </row>
    <row r="64" spans="2:14">
      <c r="B64" s="513" t="s">
        <v>461</v>
      </c>
      <c r="C64" s="293"/>
      <c r="D64" s="293"/>
      <c r="E64" s="293"/>
      <c r="F64" s="293"/>
      <c r="G64" s="293"/>
      <c r="H64" s="293"/>
      <c r="I64" s="293"/>
      <c r="J64" s="293"/>
      <c r="K64" s="293"/>
      <c r="L64" s="293"/>
    </row>
    <row r="65" spans="2:13" s="31" customFormat="1">
      <c r="B65" s="514"/>
      <c r="C65" s="35"/>
      <c r="D65" s="35"/>
      <c r="E65" s="35"/>
      <c r="F65" s="35"/>
      <c r="G65" s="35"/>
      <c r="H65" s="35"/>
      <c r="I65" s="35"/>
      <c r="J65" s="35"/>
      <c r="K65" s="35"/>
      <c r="L65" s="35"/>
    </row>
    <row r="66" spans="2:13">
      <c r="B66" s="200" t="s">
        <v>353</v>
      </c>
      <c r="C66" s="210" t="str">
        <f>'RFPR cover'!$C$14</f>
        <v>£m 12/13</v>
      </c>
      <c r="D66" s="584">
        <v>3.5631598787191181</v>
      </c>
      <c r="E66" s="585">
        <v>1.3537971402800657</v>
      </c>
      <c r="F66" s="585">
        <v>1.9766429491975699</v>
      </c>
      <c r="G66" s="585">
        <v>2.4937846460226618</v>
      </c>
      <c r="H66" s="585">
        <v>1.0184443697627272</v>
      </c>
      <c r="I66" s="585">
        <v>1.1555805034444508</v>
      </c>
      <c r="J66" s="585">
        <v>2.2485752515916082</v>
      </c>
      <c r="K66" s="686">
        <v>1.6319932479936863</v>
      </c>
    </row>
    <row r="67" spans="2:13">
      <c r="B67" s="200" t="s">
        <v>368</v>
      </c>
      <c r="C67" s="210" t="str">
        <f>'RFPR cover'!$C$14</f>
        <v>£m 12/13</v>
      </c>
      <c r="D67" s="592">
        <v>0</v>
      </c>
      <c r="E67" s="593">
        <v>0</v>
      </c>
      <c r="F67" s="593">
        <v>0</v>
      </c>
      <c r="G67" s="593">
        <v>0</v>
      </c>
      <c r="H67" s="593">
        <v>4.7764735674010321</v>
      </c>
      <c r="I67" s="593">
        <v>4.3784101796246411</v>
      </c>
      <c r="J67" s="593">
        <v>3.81875966336594</v>
      </c>
      <c r="K67" s="685">
        <v>3.4088011659797157</v>
      </c>
    </row>
    <row r="68" spans="2:13">
      <c r="B68" s="14" t="s">
        <v>369</v>
      </c>
      <c r="C68" s="210" t="str">
        <f>'RFPR cover'!$C$14</f>
        <v>£m 12/13</v>
      </c>
      <c r="D68" s="612">
        <f t="shared" ref="D68:K68" si="10">SUM(D66:D67)</f>
        <v>3.5631598787191181</v>
      </c>
      <c r="E68" s="613">
        <f t="shared" si="10"/>
        <v>1.3537971402800657</v>
      </c>
      <c r="F68" s="613">
        <f t="shared" si="10"/>
        <v>1.9766429491975699</v>
      </c>
      <c r="G68" s="613">
        <f t="shared" si="10"/>
        <v>2.4937846460226618</v>
      </c>
      <c r="H68" s="613">
        <f t="shared" si="10"/>
        <v>5.7949179371637598</v>
      </c>
      <c r="I68" s="613">
        <f t="shared" si="10"/>
        <v>5.5339906830690921</v>
      </c>
      <c r="J68" s="613">
        <f t="shared" si="10"/>
        <v>6.0673349149575486</v>
      </c>
      <c r="K68" s="614">
        <f t="shared" si="10"/>
        <v>5.0407944139734022</v>
      </c>
    </row>
    <row r="69" spans="2:13" s="31" customFormat="1">
      <c r="B69" s="514"/>
      <c r="C69" s="35"/>
      <c r="D69" s="748"/>
      <c r="E69" s="748"/>
      <c r="F69" s="748"/>
      <c r="G69" s="748"/>
      <c r="H69" s="748"/>
      <c r="I69" s="748"/>
      <c r="J69" s="748"/>
      <c r="K69" s="748"/>
      <c r="L69" s="35"/>
    </row>
    <row r="70" spans="2:13" s="31" customFormat="1">
      <c r="B70" s="515" t="s">
        <v>367</v>
      </c>
      <c r="C70" s="35"/>
      <c r="D70" s="704">
        <f t="shared" ref="D70:K70" si="11">D68-D62</f>
        <v>-0.25504354214880909</v>
      </c>
      <c r="E70" s="705">
        <f t="shared" si="11"/>
        <v>-0.32243645242345154</v>
      </c>
      <c r="F70" s="705">
        <f t="shared" si="11"/>
        <v>0.31390106626324976</v>
      </c>
      <c r="G70" s="705">
        <f t="shared" si="11"/>
        <v>1.2951944098308894</v>
      </c>
      <c r="H70" s="705">
        <f t="shared" si="11"/>
        <v>-4.502606958657946</v>
      </c>
      <c r="I70" s="705">
        <f t="shared" si="11"/>
        <v>-7.324050123576674</v>
      </c>
      <c r="J70" s="705">
        <f t="shared" si="11"/>
        <v>-8.7059334966584228</v>
      </c>
      <c r="K70" s="706">
        <f t="shared" si="11"/>
        <v>-0.96790255267440717</v>
      </c>
      <c r="L70" s="35"/>
    </row>
    <row r="71" spans="2:13">
      <c r="B71" s="200" t="s">
        <v>364</v>
      </c>
      <c r="C71" s="210" t="str">
        <f>'RFPR cover'!$C$14</f>
        <v>£m 12/13</v>
      </c>
      <c r="D71" s="588">
        <v>0</v>
      </c>
      <c r="E71" s="589">
        <v>0</v>
      </c>
      <c r="F71" s="589">
        <v>0</v>
      </c>
      <c r="G71" s="589">
        <v>0</v>
      </c>
      <c r="H71" s="589">
        <v>0</v>
      </c>
      <c r="I71" s="589">
        <v>0</v>
      </c>
      <c r="J71" s="589">
        <v>0</v>
      </c>
      <c r="K71" s="684">
        <v>0</v>
      </c>
    </row>
    <row r="72" spans="2:13">
      <c r="B72" s="200" t="s">
        <v>415</v>
      </c>
      <c r="C72" s="210" t="str">
        <f>'RFPR cover'!$C$14</f>
        <v>£m 12/13</v>
      </c>
      <c r="D72" s="588">
        <v>0</v>
      </c>
      <c r="E72" s="589">
        <v>0</v>
      </c>
      <c r="F72" s="589">
        <v>0</v>
      </c>
      <c r="G72" s="589">
        <v>0</v>
      </c>
      <c r="H72" s="589">
        <v>0</v>
      </c>
      <c r="I72" s="589">
        <v>0</v>
      </c>
      <c r="J72" s="589">
        <v>0</v>
      </c>
      <c r="K72" s="684">
        <v>0</v>
      </c>
    </row>
    <row r="73" spans="2:13">
      <c r="B73" s="200" t="s">
        <v>331</v>
      </c>
      <c r="C73" s="210" t="str">
        <f>'RFPR cover'!$C$14</f>
        <v>£m 12/13</v>
      </c>
      <c r="D73" s="749">
        <v>-0.25504354214880909</v>
      </c>
      <c r="E73" s="750">
        <v>-0.32243645242345154</v>
      </c>
      <c r="F73" s="750">
        <v>0.31390106626324976</v>
      </c>
      <c r="G73" s="750">
        <v>1.2951944098308894</v>
      </c>
      <c r="H73" s="750">
        <v>-4.502606958657946</v>
      </c>
      <c r="I73" s="750">
        <v>-7.324050123576674</v>
      </c>
      <c r="J73" s="750">
        <v>-8.7059334966584228</v>
      </c>
      <c r="K73" s="751">
        <v>-0.96790255267440717</v>
      </c>
    </row>
    <row r="74" spans="2:13">
      <c r="B74" s="200" t="s">
        <v>122</v>
      </c>
      <c r="C74" s="210" t="str">
        <f>'RFPR cover'!$C$14</f>
        <v>£m 12/13</v>
      </c>
      <c r="D74" s="516" t="str">
        <f>IF(ABS(D70-SUM(D71:D73))&lt;'RFPR cover'!$F$14,"OK","ERROR")</f>
        <v>OK</v>
      </c>
      <c r="E74" s="517" t="str">
        <f>IF(ABS(E70-SUM(E71:E73))&lt;'RFPR cover'!$F$14,"OK","ERROR")</f>
        <v>OK</v>
      </c>
      <c r="F74" s="517" t="str">
        <f>IF(ABS(F70-SUM(F71:F73))&lt;'RFPR cover'!$F$14,"OK","ERROR")</f>
        <v>OK</v>
      </c>
      <c r="G74" s="517" t="str">
        <f>IF(ABS(G70-SUM(G71:G73))&lt;'RFPR cover'!$F$14,"OK","ERROR")</f>
        <v>OK</v>
      </c>
      <c r="H74" s="517" t="str">
        <f>IF(ABS(H70-SUM(H71:H73))&lt;'RFPR cover'!$F$14,"OK","ERROR")</f>
        <v>OK</v>
      </c>
      <c r="I74" s="517" t="str">
        <f>IF(ABS(I70-SUM(I71:I73))&lt;'RFPR cover'!$F$14,"OK","ERROR")</f>
        <v>OK</v>
      </c>
      <c r="J74" s="517" t="str">
        <f>IF(ABS(J70-SUM(J71:J73))&lt;'RFPR cover'!$F$14,"OK","ERROR")</f>
        <v>OK</v>
      </c>
      <c r="K74" s="518" t="str">
        <f>IF(ABS(K70-SUM(K71:K73))&lt;'RFPR cover'!$F$14,"OK","ERROR")</f>
        <v>OK</v>
      </c>
    </row>
    <row r="75" spans="2:13">
      <c r="B75" s="200"/>
      <c r="C75" s="200"/>
      <c r="D75" s="200"/>
      <c r="E75" s="200"/>
      <c r="F75" s="200"/>
      <c r="G75" s="200"/>
      <c r="H75" s="200"/>
      <c r="I75" s="200"/>
      <c r="J75" s="200"/>
      <c r="K75" s="200"/>
      <c r="L75" s="200"/>
      <c r="M75" s="200"/>
    </row>
    <row r="77" spans="2:13">
      <c r="B77" s="838" t="s">
        <v>417</v>
      </c>
      <c r="C77" s="838"/>
      <c r="D77" s="838"/>
      <c r="E77" s="838"/>
      <c r="F77" s="838"/>
      <c r="G77" s="838"/>
      <c r="H77" s="838"/>
      <c r="I77" s="838"/>
      <c r="J77" s="838"/>
      <c r="K77" s="838"/>
      <c r="L77" s="838"/>
    </row>
    <row r="79" spans="2:13">
      <c r="B79" s="14" t="s">
        <v>418</v>
      </c>
      <c r="C79" s="211" t="str">
        <f>'RFPR cover'!$C$14</f>
        <v>£m 12/13</v>
      </c>
      <c r="D79" s="612">
        <f t="shared" ref="D79:K79" si="12">D$68-D41</f>
        <v>-2.2182367577897248</v>
      </c>
      <c r="E79" s="613">
        <f t="shared" si="12"/>
        <v>-3.8230909603039729</v>
      </c>
      <c r="F79" s="613">
        <f t="shared" si="12"/>
        <v>-3.3042136651580791</v>
      </c>
      <c r="G79" s="613">
        <f t="shared" si="12"/>
        <v>-1.7728533469739647</v>
      </c>
      <c r="H79" s="613">
        <f t="shared" si="12"/>
        <v>-1.5672322376761745</v>
      </c>
      <c r="I79" s="613">
        <f t="shared" si="12"/>
        <v>-2.89570676647919</v>
      </c>
      <c r="J79" s="613">
        <f t="shared" si="12"/>
        <v>-1.6408901911663447</v>
      </c>
      <c r="K79" s="614">
        <f t="shared" si="12"/>
        <v>-3.5816702372032934</v>
      </c>
    </row>
    <row r="80" spans="2:13">
      <c r="B80" s="14"/>
      <c r="C80" s="14"/>
      <c r="D80" s="14"/>
      <c r="E80" s="14"/>
      <c r="F80" s="14"/>
      <c r="G80" s="14"/>
      <c r="H80" s="14"/>
      <c r="I80" s="14"/>
      <c r="J80" s="14"/>
      <c r="K80" s="14"/>
    </row>
    <row r="81" spans="2:11">
      <c r="B81" s="14" t="s">
        <v>429</v>
      </c>
      <c r="C81" s="211" t="str">
        <f>'RFPR cover'!$C$14</f>
        <v>£m 12/13</v>
      </c>
      <c r="D81" s="612">
        <f t="shared" ref="D81:K81" si="13">D$68-D53</f>
        <v>-2.011630716157462</v>
      </c>
      <c r="E81" s="613">
        <f t="shared" si="13"/>
        <v>-3.5754830481532629</v>
      </c>
      <c r="F81" s="613">
        <f t="shared" si="13"/>
        <v>-3.327746838027124</v>
      </c>
      <c r="G81" s="613">
        <f t="shared" si="13"/>
        <v>-1.7576135971969675</v>
      </c>
      <c r="H81" s="613">
        <f t="shared" si="13"/>
        <v>-1.5517361781677135</v>
      </c>
      <c r="I81" s="613">
        <f t="shared" si="13"/>
        <v>-2.882529866137272</v>
      </c>
      <c r="J81" s="613">
        <f t="shared" si="13"/>
        <v>-1.6415179434785889</v>
      </c>
      <c r="K81" s="614">
        <f t="shared" si="13"/>
        <v>-3.5797385452150428</v>
      </c>
    </row>
    <row r="83" spans="2:11">
      <c r="B83" s="14" t="s">
        <v>428</v>
      </c>
      <c r="C83" s="211" t="str">
        <f>'RFPR cover'!$C$14</f>
        <v>£m 12/13</v>
      </c>
      <c r="D83" s="612">
        <f>D79-D81</f>
        <v>-0.20660604163226282</v>
      </c>
      <c r="E83" s="613">
        <f t="shared" ref="E83:K83" si="14">E79-E81</f>
        <v>-0.24760791215070999</v>
      </c>
      <c r="F83" s="613">
        <f t="shared" si="14"/>
        <v>2.3533172869044883E-2</v>
      </c>
      <c r="G83" s="613">
        <f t="shared" si="14"/>
        <v>-1.5239749776997158E-2</v>
      </c>
      <c r="H83" s="613">
        <f t="shared" si="14"/>
        <v>-1.5496059508461002E-2</v>
      </c>
      <c r="I83" s="613">
        <f t="shared" si="14"/>
        <v>-1.3176900341917985E-2</v>
      </c>
      <c r="J83" s="613">
        <f t="shared" si="14"/>
        <v>6.2775231224421191E-4</v>
      </c>
      <c r="K83" s="614">
        <f t="shared" si="14"/>
        <v>-1.9316919882506056E-3</v>
      </c>
    </row>
    <row r="85" spans="2:11">
      <c r="B85" t="s">
        <v>511</v>
      </c>
      <c r="C85" s="266" t="s">
        <v>128</v>
      </c>
      <c r="D85" s="588">
        <v>0.8070713034249497</v>
      </c>
      <c r="E85" s="588">
        <v>-1.7481333665712837</v>
      </c>
      <c r="F85" s="588">
        <v>-5.7789357369797001</v>
      </c>
      <c r="G85" s="588">
        <v>-4.8183908959143142</v>
      </c>
      <c r="H85" s="588">
        <v>-3.4498618866282023</v>
      </c>
      <c r="I85" s="588">
        <v>-0.55553375550073802</v>
      </c>
      <c r="J85" s="588">
        <v>-4.0899318059160308</v>
      </c>
      <c r="K85" s="588">
        <v>-5.3315674599744964</v>
      </c>
    </row>
    <row r="86" spans="2:11">
      <c r="B86" t="s">
        <v>511</v>
      </c>
      <c r="C86" s="397" t="str">
        <f>'RFPR cover'!$C$14</f>
        <v>£m 12/13</v>
      </c>
      <c r="D86" s="790">
        <f>D85/D$39</f>
        <v>0.76116057388805425</v>
      </c>
      <c r="E86" s="790">
        <f t="shared" ref="E86:K86" si="15">E85/E$39</f>
        <v>-1.6141035633748522</v>
      </c>
      <c r="F86" s="790">
        <f t="shared" si="15"/>
        <v>-5.143397432761172</v>
      </c>
      <c r="G86" s="790">
        <f t="shared" si="15"/>
        <v>-4.1613360457799811</v>
      </c>
      <c r="H86" s="790">
        <f t="shared" si="15"/>
        <v>-2.9042428730560461</v>
      </c>
      <c r="I86" s="790">
        <f t="shared" si="15"/>
        <v>-0.46206874207527387</v>
      </c>
      <c r="J86" s="790">
        <f t="shared" si="15"/>
        <v>-3.3140056975558623</v>
      </c>
      <c r="K86" s="790">
        <f t="shared" si="15"/>
        <v>-4.1912035100045237</v>
      </c>
    </row>
    <row r="87" spans="2:11">
      <c r="B87" t="s">
        <v>512</v>
      </c>
      <c r="C87" s="266" t="s">
        <v>128</v>
      </c>
      <c r="D87" s="588">
        <v>1.0261391493380296</v>
      </c>
      <c r="E87" s="588">
        <v>-1.4799649151289991</v>
      </c>
      <c r="F87" s="588">
        <v>-5.805376760734001</v>
      </c>
      <c r="G87" s="588">
        <v>-4.8007448633003511</v>
      </c>
      <c r="H87" s="588">
        <v>-3.431454588262377</v>
      </c>
      <c r="I87" s="588">
        <v>-0.53969149597041888</v>
      </c>
      <c r="J87" s="588">
        <v>-4.090706537278133</v>
      </c>
      <c r="K87" s="588">
        <v>-5.3291101834135581</v>
      </c>
    </row>
    <row r="88" spans="2:11">
      <c r="B88" t="s">
        <v>512</v>
      </c>
      <c r="C88" s="397" t="str">
        <f>'RFPR cover'!$C$14</f>
        <v>£m 12/13</v>
      </c>
      <c r="D88" s="790">
        <f t="shared" ref="D88:K88" si="16">D87/D$39</f>
        <v>0.96776661552031706</v>
      </c>
      <c r="E88" s="790">
        <f t="shared" si="16"/>
        <v>-1.366495651224142</v>
      </c>
      <c r="F88" s="790">
        <f t="shared" si="16"/>
        <v>-5.1669306056302169</v>
      </c>
      <c r="G88" s="790">
        <f t="shared" si="16"/>
        <v>-4.1460962960029848</v>
      </c>
      <c r="H88" s="790">
        <f t="shared" si="16"/>
        <v>-2.8887468135475847</v>
      </c>
      <c r="I88" s="790">
        <f t="shared" si="16"/>
        <v>-0.448891841733356</v>
      </c>
      <c r="J88" s="790">
        <f t="shared" si="16"/>
        <v>-3.314633449868106</v>
      </c>
      <c r="K88" s="790">
        <f t="shared" si="16"/>
        <v>-4.1892718180162722</v>
      </c>
    </row>
    <row r="89" spans="2:11">
      <c r="B89" t="s">
        <v>515</v>
      </c>
      <c r="C89" s="397" t="str">
        <f>'RFPR cover'!$C$14</f>
        <v>£m 12/13</v>
      </c>
      <c r="D89" s="790">
        <f>D86-D88</f>
        <v>-0.20660604163226282</v>
      </c>
      <c r="E89" s="790">
        <f t="shared" ref="E89:K89" si="17">E86-E88</f>
        <v>-0.24760791215071021</v>
      </c>
      <c r="F89" s="790">
        <f t="shared" si="17"/>
        <v>2.3533172869044883E-2</v>
      </c>
      <c r="G89" s="790">
        <f t="shared" si="17"/>
        <v>-1.523974977699627E-2</v>
      </c>
      <c r="H89" s="790">
        <f t="shared" si="17"/>
        <v>-1.5496059508461446E-2</v>
      </c>
      <c r="I89" s="790">
        <f t="shared" si="17"/>
        <v>-1.3176900341917874E-2</v>
      </c>
      <c r="J89" s="790">
        <f t="shared" si="17"/>
        <v>6.2775231224376782E-4</v>
      </c>
      <c r="K89" s="790">
        <f t="shared" si="17"/>
        <v>-1.9316919882514938E-3</v>
      </c>
    </row>
  </sheetData>
  <conditionalFormatting sqref="D6:K7">
    <cfRule type="expression" dxfId="22" priority="71">
      <formula>AND(D$6="Actuals",E$6="Forecast")</formula>
    </cfRule>
  </conditionalFormatting>
  <conditionalFormatting sqref="D5:K5">
    <cfRule type="expression" dxfId="21" priority="46">
      <formula>AND(D$5="Actuals",E$5="Forecast")</formula>
    </cfRule>
  </conditionalFormatting>
  <conditionalFormatting sqref="I36:K36 D36:F36">
    <cfRule type="expression" dxfId="20" priority="14">
      <formula>AND(D$5="Actuals",E$5="Actuals")</formula>
    </cfRule>
  </conditionalFormatting>
  <conditionalFormatting sqref="D12:K12 D15:K19 D24:K33">
    <cfRule type="expression" dxfId="19" priority="13">
      <formula>NOT(AND(D$5="Actuals"))</formula>
    </cfRule>
  </conditionalFormatting>
  <conditionalFormatting sqref="G36">
    <cfRule type="expression" dxfId="18" priority="179">
      <formula>AND(E$5="Actuals",F$5="Actuals")</formula>
    </cfRule>
  </conditionalFormatting>
  <conditionalFormatting sqref="H36">
    <cfRule type="expression" dxfId="17" priority="1">
      <formula>AND(H$5="Actuals",I$5="Actuals")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6.375" bestFit="1" customWidth="1"/>
    <col min="3" max="3" width="14.125" customWidth="1"/>
    <col min="4" max="11" width="11.125" customWidth="1"/>
    <col min="12" max="12" width="5" customWidth="1"/>
    <col min="17" max="17" width="13.125" customWidth="1"/>
  </cols>
  <sheetData>
    <row r="1" spans="1:18" s="31" customFormat="1" ht="20.25">
      <c r="A1" s="930" t="s">
        <v>258</v>
      </c>
      <c r="B1" s="941"/>
      <c r="C1" s="120"/>
      <c r="D1" s="120"/>
      <c r="E1" s="120"/>
      <c r="F1" s="120"/>
      <c r="G1" s="120"/>
      <c r="H1" s="120"/>
      <c r="I1" s="126"/>
      <c r="J1" s="126"/>
      <c r="K1" s="127"/>
      <c r="L1" s="128"/>
    </row>
    <row r="2" spans="1:18" s="31" customFormat="1" ht="20.25">
      <c r="A2" s="915" t="str">
        <f>'RFPR cover'!C5</f>
        <v>SPMW</v>
      </c>
      <c r="B2" s="907"/>
      <c r="C2" s="29"/>
      <c r="D2" s="29"/>
      <c r="E2" s="29"/>
      <c r="F2" s="29"/>
      <c r="G2" s="29"/>
      <c r="H2" s="29"/>
      <c r="I2" s="27"/>
      <c r="J2" s="27"/>
      <c r="K2" s="27"/>
      <c r="L2" s="123"/>
    </row>
    <row r="3" spans="1:18" s="31" customFormat="1" ht="23.25">
      <c r="A3" s="932">
        <f>'RFPR cover'!C7</f>
        <v>2021</v>
      </c>
      <c r="B3" s="924" t="str">
        <f>'R1 - RoRE'!B3</f>
        <v/>
      </c>
      <c r="C3" s="124"/>
      <c r="D3" s="124"/>
      <c r="E3" s="124"/>
      <c r="F3" s="124"/>
      <c r="G3" s="124"/>
      <c r="H3" s="124"/>
      <c r="I3" s="28"/>
      <c r="J3" s="28"/>
      <c r="K3" s="28"/>
      <c r="L3" s="125"/>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N/A</v>
      </c>
      <c r="K5" s="392"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229</v>
      </c>
      <c r="C8" s="152" t="s">
        <v>128</v>
      </c>
      <c r="D8" s="640">
        <v>45</v>
      </c>
      <c r="E8" s="641">
        <v>26</v>
      </c>
      <c r="F8" s="641">
        <v>72</v>
      </c>
      <c r="G8" s="641">
        <v>96.7</v>
      </c>
      <c r="H8" s="641">
        <v>46.3</v>
      </c>
      <c r="I8" s="641">
        <v>73</v>
      </c>
      <c r="J8" s="641"/>
      <c r="K8" s="642"/>
    </row>
    <row r="9" spans="1:18">
      <c r="B9" s="15" t="s">
        <v>105</v>
      </c>
      <c r="C9" s="14"/>
      <c r="D9" s="752"/>
      <c r="E9" s="752"/>
      <c r="F9" s="752"/>
      <c r="G9" s="752"/>
      <c r="H9" s="752"/>
      <c r="I9" s="752"/>
      <c r="J9" s="752"/>
      <c r="K9" s="752"/>
    </row>
    <row r="10" spans="1:18">
      <c r="B10" s="431" t="s">
        <v>22</v>
      </c>
      <c r="C10" s="152" t="s">
        <v>128</v>
      </c>
      <c r="D10" s="596">
        <v>0</v>
      </c>
      <c r="E10" s="597">
        <v>0</v>
      </c>
      <c r="F10" s="597">
        <v>0</v>
      </c>
      <c r="G10" s="597">
        <v>0</v>
      </c>
      <c r="H10" s="597">
        <v>0</v>
      </c>
      <c r="I10" s="597">
        <v>0</v>
      </c>
      <c r="J10" s="597"/>
      <c r="K10" s="607"/>
    </row>
    <row r="11" spans="1:18">
      <c r="B11" s="431" t="s">
        <v>22</v>
      </c>
      <c r="C11" s="152" t="s">
        <v>128</v>
      </c>
      <c r="D11" s="598">
        <v>0</v>
      </c>
      <c r="E11" s="599">
        <v>0</v>
      </c>
      <c r="F11" s="599">
        <v>0</v>
      </c>
      <c r="G11" s="599">
        <v>0</v>
      </c>
      <c r="H11" s="599">
        <v>0</v>
      </c>
      <c r="I11" s="599">
        <v>0</v>
      </c>
      <c r="J11" s="599"/>
      <c r="K11" s="608"/>
    </row>
    <row r="12" spans="1:18">
      <c r="B12" s="431" t="s">
        <v>20</v>
      </c>
      <c r="C12" s="152" t="s">
        <v>128</v>
      </c>
      <c r="D12" s="609">
        <v>0</v>
      </c>
      <c r="E12" s="610">
        <v>0</v>
      </c>
      <c r="F12" s="610">
        <v>0</v>
      </c>
      <c r="G12" s="610">
        <v>0</v>
      </c>
      <c r="H12" s="610">
        <v>0</v>
      </c>
      <c r="I12" s="610">
        <v>0</v>
      </c>
      <c r="J12" s="610"/>
      <c r="K12" s="611"/>
      <c r="Q12" s="216"/>
    </row>
    <row r="13" spans="1:18">
      <c r="B13" s="14" t="s">
        <v>106</v>
      </c>
      <c r="C13" s="152" t="s">
        <v>128</v>
      </c>
      <c r="D13" s="740">
        <f>D8-SUM(D10:D12)</f>
        <v>45</v>
      </c>
      <c r="E13" s="741">
        <f t="shared" ref="E13:K13" si="1">E8-SUM(E10:E12)</f>
        <v>26</v>
      </c>
      <c r="F13" s="741">
        <f t="shared" si="1"/>
        <v>72</v>
      </c>
      <c r="G13" s="741">
        <f t="shared" si="1"/>
        <v>96.7</v>
      </c>
      <c r="H13" s="741">
        <f t="shared" si="1"/>
        <v>46.3</v>
      </c>
      <c r="I13" s="741">
        <f t="shared" si="1"/>
        <v>73</v>
      </c>
      <c r="J13" s="741">
        <f t="shared" si="1"/>
        <v>0</v>
      </c>
      <c r="K13" s="742">
        <f t="shared" si="1"/>
        <v>0</v>
      </c>
      <c r="R13" s="215"/>
    </row>
    <row r="14" spans="1:18">
      <c r="C14" s="14"/>
      <c r="Q14" s="216"/>
    </row>
    <row r="15" spans="1:18">
      <c r="B15" s="14" t="s">
        <v>488</v>
      </c>
      <c r="C15" s="152" t="s">
        <v>128</v>
      </c>
      <c r="D15" s="596">
        <v>0</v>
      </c>
      <c r="E15" s="597">
        <v>0</v>
      </c>
      <c r="F15" s="597">
        <v>0</v>
      </c>
      <c r="G15" s="597">
        <v>0</v>
      </c>
      <c r="H15" s="597">
        <v>0</v>
      </c>
      <c r="I15" s="597">
        <v>0</v>
      </c>
      <c r="J15" s="597"/>
      <c r="K15" s="607"/>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6" t="s">
        <v>257</v>
      </c>
      <c r="B1" s="922"/>
      <c r="C1" s="256"/>
      <c r="D1" s="256"/>
      <c r="E1" s="256"/>
      <c r="F1" s="256"/>
      <c r="G1" s="256"/>
      <c r="H1" s="256"/>
      <c r="I1" s="257"/>
      <c r="J1" s="257"/>
      <c r="K1" s="258"/>
      <c r="L1" s="259"/>
    </row>
    <row r="2" spans="1:12" s="31" customFormat="1" ht="20.25">
      <c r="A2" s="915" t="str">
        <f>'RFPR cover'!C5</f>
        <v>SPMW</v>
      </c>
      <c r="B2" s="907"/>
      <c r="C2" s="29"/>
      <c r="D2" s="29"/>
      <c r="E2" s="29"/>
      <c r="F2" s="29"/>
      <c r="G2" s="29"/>
      <c r="H2" s="29"/>
      <c r="I2" s="27"/>
      <c r="J2" s="27"/>
      <c r="K2" s="27"/>
      <c r="L2" s="123"/>
    </row>
    <row r="3" spans="1:12" s="31" customFormat="1" ht="20.25">
      <c r="A3" s="918">
        <f>'RFPR cover'!C7</f>
        <v>2021</v>
      </c>
      <c r="B3" s="925"/>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377</v>
      </c>
      <c r="C8" s="152" t="s">
        <v>128</v>
      </c>
      <c r="D8" s="753">
        <v>25.062000000000001</v>
      </c>
      <c r="E8" s="753">
        <v>25.265000000000004</v>
      </c>
      <c r="F8" s="753">
        <v>32.020000000000003</v>
      </c>
      <c r="G8" s="753">
        <v>33.260000000000005</v>
      </c>
      <c r="H8" s="753">
        <v>34.356499999999997</v>
      </c>
      <c r="I8" s="753">
        <v>36.317999999999998</v>
      </c>
      <c r="J8" s="754"/>
      <c r="K8" s="755"/>
    </row>
    <row r="9" spans="1:12">
      <c r="B9" s="16" t="s">
        <v>24</v>
      </c>
      <c r="D9" s="752"/>
      <c r="E9" s="752"/>
      <c r="F9" s="752"/>
      <c r="G9" s="752"/>
      <c r="H9" s="752"/>
      <c r="I9" s="752"/>
      <c r="J9" s="752"/>
      <c r="K9" s="752"/>
    </row>
    <row r="10" spans="1:12">
      <c r="B10" t="s">
        <v>23</v>
      </c>
      <c r="C10" s="152" t="s">
        <v>128</v>
      </c>
      <c r="D10" s="679">
        <v>23.68</v>
      </c>
      <c r="E10" s="680">
        <v>23.87</v>
      </c>
      <c r="F10" s="680">
        <v>28.67</v>
      </c>
      <c r="G10" s="680">
        <v>29.783000000000001</v>
      </c>
      <c r="H10" s="680">
        <v>30.765999999999998</v>
      </c>
      <c r="I10" s="680">
        <v>31.635999999999999</v>
      </c>
      <c r="J10" s="680"/>
      <c r="K10" s="681"/>
    </row>
    <row r="11" spans="1:12">
      <c r="B11" t="s">
        <v>25</v>
      </c>
      <c r="C11" s="152" t="s">
        <v>128</v>
      </c>
      <c r="D11" s="756">
        <v>1.3820000000000001</v>
      </c>
      <c r="E11" s="757">
        <v>1.395</v>
      </c>
      <c r="F11" s="757">
        <v>3.3499999999999996</v>
      </c>
      <c r="G11" s="757">
        <v>3.4769999999999999</v>
      </c>
      <c r="H11" s="757">
        <v>3.5905</v>
      </c>
      <c r="I11" s="757">
        <v>4.6820000000000004</v>
      </c>
      <c r="J11" s="757"/>
      <c r="K11" s="758"/>
    </row>
    <row r="12" spans="1:12">
      <c r="D12" s="752"/>
      <c r="E12" s="752"/>
      <c r="F12" s="752"/>
      <c r="G12" s="752"/>
      <c r="H12" s="752"/>
      <c r="I12" s="752"/>
      <c r="J12" s="752"/>
      <c r="K12" s="752"/>
    </row>
    <row r="13" spans="1:12">
      <c r="D13" s="752"/>
      <c r="E13" s="752"/>
      <c r="F13" s="752"/>
      <c r="G13" s="752"/>
      <c r="H13" s="752"/>
      <c r="I13" s="752"/>
      <c r="J13" s="752"/>
      <c r="K13" s="752"/>
    </row>
    <row r="14" spans="1:12">
      <c r="B14" t="s">
        <v>23</v>
      </c>
      <c r="C14" s="210" t="str">
        <f>'RFPR cover'!$C$14</f>
        <v>£m 12/13</v>
      </c>
      <c r="D14" s="17">
        <f>D10/Data!C$34</f>
        <v>22.332949162211438</v>
      </c>
      <c r="E14" s="17">
        <f>E10/Data!D$34</f>
        <v>22.039881392645814</v>
      </c>
      <c r="F14" s="17">
        <f>F10/Data!E$34</f>
        <v>25.517017511312879</v>
      </c>
      <c r="G14" s="17">
        <f>G10/Data!F$34</f>
        <v>25.721672261284542</v>
      </c>
      <c r="H14" s="17">
        <f>H10/Data!G$34</f>
        <v>25.900148808499804</v>
      </c>
      <c r="I14" s="17">
        <f>I10/Data!H$34</f>
        <v>26.313444645892346</v>
      </c>
      <c r="J14" s="17">
        <f>J10/Data!I$34</f>
        <v>0</v>
      </c>
      <c r="K14" s="17">
        <f>K10/Data!J$34</f>
        <v>0</v>
      </c>
    </row>
    <row r="15" spans="1:12">
      <c r="D15" s="752"/>
      <c r="E15" s="752"/>
      <c r="F15" s="752"/>
      <c r="G15" s="752"/>
      <c r="H15" s="752"/>
      <c r="I15" s="752"/>
      <c r="J15" s="752"/>
      <c r="K15" s="752"/>
    </row>
    <row r="16" spans="1:12">
      <c r="D16" s="752"/>
      <c r="E16" s="752"/>
      <c r="F16" s="752"/>
      <c r="G16" s="752"/>
      <c r="H16" s="752"/>
      <c r="I16" s="752"/>
      <c r="J16" s="752"/>
      <c r="K16" s="752"/>
    </row>
    <row r="17" spans="2:11" s="2" customFormat="1">
      <c r="B17" s="14" t="s">
        <v>311</v>
      </c>
      <c r="C17" s="210" t="str">
        <f>'RFPR cover'!$C$14</f>
        <v>£m 12/13</v>
      </c>
      <c r="D17" s="759">
        <v>27.7</v>
      </c>
      <c r="E17" s="759">
        <v>27.7</v>
      </c>
      <c r="F17" s="759">
        <v>27.7</v>
      </c>
      <c r="G17" s="759">
        <v>26.6</v>
      </c>
      <c r="H17" s="759">
        <v>26.6</v>
      </c>
      <c r="I17" s="759">
        <v>26.6</v>
      </c>
      <c r="J17" s="759">
        <v>0</v>
      </c>
      <c r="K17" s="759">
        <v>0</v>
      </c>
    </row>
    <row r="18" spans="2:11" s="2" customFormat="1">
      <c r="B18" s="200" t="s">
        <v>312</v>
      </c>
      <c r="C18" s="210" t="str">
        <f>'RFPR cover'!$C$14</f>
        <v>£m 12/13</v>
      </c>
      <c r="D18" s="759">
        <v>3.8</v>
      </c>
      <c r="E18" s="759">
        <v>3.8</v>
      </c>
      <c r="F18" s="759">
        <v>3.8</v>
      </c>
      <c r="G18" s="759">
        <v>2.7</v>
      </c>
      <c r="H18" s="759">
        <v>2.7</v>
      </c>
      <c r="I18" s="759">
        <v>2.7</v>
      </c>
      <c r="J18" s="759">
        <v>0</v>
      </c>
      <c r="K18" s="759">
        <v>0</v>
      </c>
    </row>
    <row r="19" spans="2:11" s="2" customFormat="1">
      <c r="B19" s="14" t="s">
        <v>313</v>
      </c>
      <c r="C19" s="210" t="str">
        <f>'RFPR cover'!$C$14</f>
        <v>£m 12/13</v>
      </c>
      <c r="D19" s="17">
        <f>D17-D18</f>
        <v>23.9</v>
      </c>
      <c r="E19" s="17">
        <f t="shared" ref="E19:K19" si="1">E17-E18</f>
        <v>23.9</v>
      </c>
      <c r="F19" s="17">
        <f t="shared" si="1"/>
        <v>23.9</v>
      </c>
      <c r="G19" s="17">
        <f t="shared" si="1"/>
        <v>23.900000000000002</v>
      </c>
      <c r="H19" s="17">
        <f t="shared" si="1"/>
        <v>23.900000000000002</v>
      </c>
      <c r="I19" s="17">
        <f t="shared" si="1"/>
        <v>23.900000000000002</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999" t="s">
        <v>118</v>
      </c>
      <c r="E21" s="14"/>
      <c r="F21" s="14"/>
      <c r="G21" s="14"/>
      <c r="H21" s="14"/>
      <c r="I21" s="14"/>
      <c r="J21" s="14"/>
      <c r="K21" s="14"/>
    </row>
    <row r="22" spans="2:11" s="2" customFormat="1" ht="12.75" customHeight="1">
      <c r="B22" s="14"/>
      <c r="C22" s="14"/>
      <c r="D22" s="1000"/>
      <c r="E22" s="14"/>
      <c r="F22" s="14"/>
      <c r="G22" s="14"/>
      <c r="H22" s="14"/>
      <c r="I22" s="14"/>
      <c r="J22" s="14"/>
      <c r="K22" s="14"/>
    </row>
    <row r="23" spans="2:11">
      <c r="C23" s="14"/>
      <c r="D23" s="1001"/>
      <c r="E23" s="14"/>
    </row>
    <row r="24" spans="2:11">
      <c r="B24" s="14" t="s">
        <v>117</v>
      </c>
      <c r="C24" s="14"/>
      <c r="D24" s="525">
        <v>43555</v>
      </c>
    </row>
    <row r="25" spans="2:11">
      <c r="B25" s="14"/>
      <c r="C25" s="14"/>
      <c r="D25" s="40"/>
      <c r="E25" s="41"/>
      <c r="F25" s="41"/>
    </row>
    <row r="26" spans="2:11">
      <c r="B26" s="200" t="s">
        <v>310</v>
      </c>
      <c r="C26" s="14"/>
      <c r="D26" s="363" t="s">
        <v>637</v>
      </c>
      <c r="E26" s="41"/>
      <c r="F26" s="41"/>
    </row>
    <row r="27" spans="2:11">
      <c r="B27" s="200"/>
      <c r="C27" s="14"/>
      <c r="D27" s="40"/>
      <c r="E27" s="41"/>
      <c r="F27" s="41"/>
    </row>
    <row r="28" spans="2:11">
      <c r="B28" s="14"/>
      <c r="D28" s="362" t="s">
        <v>280</v>
      </c>
      <c r="E28" s="41"/>
      <c r="F28" s="41"/>
    </row>
    <row r="29" spans="2:11">
      <c r="B29" t="s">
        <v>26</v>
      </c>
      <c r="D29" s="759">
        <v>823.4</v>
      </c>
    </row>
    <row r="30" spans="2:11">
      <c r="B30" t="s">
        <v>27</v>
      </c>
      <c r="D30" s="759">
        <v>4674.5</v>
      </c>
    </row>
    <row r="31" spans="2:11">
      <c r="D31" s="752"/>
    </row>
    <row r="32" spans="2:11">
      <c r="B32" t="s">
        <v>28</v>
      </c>
      <c r="D32" s="759">
        <v>649.19999999999993</v>
      </c>
    </row>
    <row r="33" spans="2:4">
      <c r="B33" t="s">
        <v>29</v>
      </c>
      <c r="D33" s="759">
        <v>4045.9</v>
      </c>
    </row>
    <row r="34" spans="2:4">
      <c r="D34" s="752"/>
    </row>
    <row r="35" spans="2:4">
      <c r="B35" s="43" t="s">
        <v>31</v>
      </c>
      <c r="D35" s="17">
        <f>D29-D32</f>
        <v>174.20000000000005</v>
      </c>
    </row>
    <row r="36" spans="2:4">
      <c r="B36" s="43" t="s">
        <v>30</v>
      </c>
      <c r="D36" s="17">
        <f>D30-D33</f>
        <v>628.59999999999991</v>
      </c>
    </row>
    <row r="37" spans="2:4">
      <c r="D37" s="752"/>
    </row>
    <row r="38" spans="2:4">
      <c r="B38" t="s">
        <v>32</v>
      </c>
      <c r="D38" s="759">
        <v>253.1</v>
      </c>
    </row>
    <row r="39" spans="2:4">
      <c r="B39" t="s">
        <v>33</v>
      </c>
      <c r="D39" s="759">
        <v>38.700000000000003</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2" t="s">
        <v>256</v>
      </c>
      <c r="B1" s="922"/>
      <c r="C1" s="256"/>
      <c r="D1" s="256"/>
      <c r="E1" s="256"/>
      <c r="F1" s="256"/>
      <c r="G1" s="256"/>
      <c r="H1" s="256"/>
      <c r="I1" s="257"/>
      <c r="J1" s="257"/>
      <c r="K1" s="258"/>
      <c r="L1" s="364"/>
      <c r="M1" s="33"/>
      <c r="N1" s="33"/>
      <c r="O1" s="32" t="s">
        <v>84</v>
      </c>
      <c r="P1" s="33"/>
      <c r="Q1" s="33"/>
      <c r="R1" s="33"/>
      <c r="S1" s="33"/>
    </row>
    <row r="2" spans="1:19" s="31" customFormat="1" ht="20.25">
      <c r="A2" s="915" t="str">
        <f>'RFPR cover'!C5</f>
        <v>SPMW</v>
      </c>
      <c r="B2" s="907"/>
      <c r="C2" s="29"/>
      <c r="D2" s="29"/>
      <c r="E2" s="29"/>
      <c r="F2" s="29"/>
      <c r="G2" s="29"/>
      <c r="H2" s="29"/>
      <c r="I2" s="27"/>
      <c r="J2" s="27"/>
      <c r="K2" s="27"/>
      <c r="L2" s="123"/>
      <c r="M2" s="33"/>
      <c r="N2" s="33"/>
      <c r="O2" s="32" t="s">
        <v>84</v>
      </c>
      <c r="P2" s="33"/>
      <c r="Q2" s="33"/>
      <c r="R2" s="33"/>
      <c r="S2" s="33"/>
    </row>
    <row r="3" spans="1:19" s="31" customFormat="1" ht="20.25">
      <c r="A3" s="918">
        <f>'RFPR cover'!C7</f>
        <v>2021</v>
      </c>
      <c r="B3" s="925"/>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63"/>
      <c r="E7" s="763"/>
      <c r="F7" s="763"/>
      <c r="G7" s="763"/>
      <c r="H7" s="763"/>
      <c r="I7" s="763"/>
      <c r="J7" s="763"/>
      <c r="K7" s="763"/>
    </row>
    <row r="8" spans="1:19">
      <c r="B8" s="51" t="s">
        <v>451</v>
      </c>
      <c r="C8" s="210" t="str">
        <f>'RFPR cover'!$C$14</f>
        <v>£m 12/13</v>
      </c>
      <c r="D8" s="760">
        <f>(D16+D21)/Data!C34</f>
        <v>6.3596562262703679E-3</v>
      </c>
      <c r="E8" s="760">
        <f>(E16+E21)/Data!D34</f>
        <v>2.3259600006792654E-3</v>
      </c>
      <c r="F8" s="760">
        <f>(F16+F21)/Data!E34</f>
        <v>1.0831827079422936E-2</v>
      </c>
      <c r="G8" s="760">
        <f>(G16+G21)/Data!F34</f>
        <v>2.1682403307531031E-2</v>
      </c>
      <c r="H8" s="760">
        <f>(H16+H21)/Data!G34</f>
        <v>3.3579821580329065E-2</v>
      </c>
      <c r="I8" s="760">
        <f>(I16+I21)/Data!H34</f>
        <v>5.5218309450424927E-2</v>
      </c>
      <c r="J8" s="760">
        <f>(J16+J21)/Data!I34</f>
        <v>0</v>
      </c>
      <c r="K8" s="760">
        <f>(K16+K21)/Data!J34</f>
        <v>0</v>
      </c>
    </row>
    <row r="9" spans="1:19">
      <c r="D9" s="763"/>
      <c r="E9" s="763"/>
      <c r="F9" s="763"/>
      <c r="G9" s="763"/>
      <c r="H9" s="763"/>
      <c r="I9" s="763"/>
      <c r="J9" s="763"/>
      <c r="K9" s="763"/>
    </row>
    <row r="10" spans="1:19">
      <c r="B10" s="14" t="s">
        <v>435</v>
      </c>
      <c r="D10" s="763"/>
      <c r="E10" s="763"/>
      <c r="F10" s="763"/>
      <c r="G10" s="763"/>
      <c r="H10" s="763"/>
      <c r="I10" s="763"/>
      <c r="J10" s="763"/>
      <c r="K10" s="763"/>
    </row>
    <row r="11" spans="1:19">
      <c r="B11" s="44" t="s">
        <v>36</v>
      </c>
      <c r="C11" s="152" t="s">
        <v>128</v>
      </c>
      <c r="D11" s="640">
        <v>0</v>
      </c>
      <c r="E11" s="641">
        <v>0</v>
      </c>
      <c r="F11" s="641">
        <v>0</v>
      </c>
      <c r="G11" s="641">
        <v>0</v>
      </c>
      <c r="H11" s="641">
        <v>0</v>
      </c>
      <c r="I11" s="641">
        <v>0</v>
      </c>
      <c r="J11" s="641">
        <v>0</v>
      </c>
      <c r="K11" s="642">
        <v>0</v>
      </c>
    </row>
    <row r="12" spans="1:19">
      <c r="B12" s="44" t="s">
        <v>36</v>
      </c>
      <c r="C12" s="152" t="s">
        <v>128</v>
      </c>
      <c r="D12" s="640">
        <v>0</v>
      </c>
      <c r="E12" s="641">
        <v>0</v>
      </c>
      <c r="F12" s="641">
        <v>0</v>
      </c>
      <c r="G12" s="641">
        <v>0</v>
      </c>
      <c r="H12" s="641">
        <v>0</v>
      </c>
      <c r="I12" s="641">
        <v>0</v>
      </c>
      <c r="J12" s="641">
        <v>0</v>
      </c>
      <c r="K12" s="642">
        <v>0</v>
      </c>
    </row>
    <row r="13" spans="1:19">
      <c r="B13" s="44" t="s">
        <v>20</v>
      </c>
      <c r="C13" s="152" t="s">
        <v>128</v>
      </c>
      <c r="D13" s="640">
        <v>0</v>
      </c>
      <c r="E13" s="641">
        <v>0</v>
      </c>
      <c r="F13" s="641">
        <v>0</v>
      </c>
      <c r="G13" s="641">
        <v>0</v>
      </c>
      <c r="H13" s="641">
        <v>0</v>
      </c>
      <c r="I13" s="641">
        <v>0</v>
      </c>
      <c r="J13" s="641">
        <v>0</v>
      </c>
      <c r="K13" s="642">
        <v>0</v>
      </c>
    </row>
    <row r="14" spans="1:19">
      <c r="B14" s="14" t="s">
        <v>448</v>
      </c>
      <c r="C14" s="152" t="s">
        <v>128</v>
      </c>
      <c r="D14" s="760">
        <f>SUM(D11:D13)</f>
        <v>0</v>
      </c>
      <c r="E14" s="761">
        <f t="shared" ref="E14:K14" si="1">SUM(E11:E13)</f>
        <v>0</v>
      </c>
      <c r="F14" s="761">
        <f t="shared" si="1"/>
        <v>0</v>
      </c>
      <c r="G14" s="761">
        <f t="shared" si="1"/>
        <v>0</v>
      </c>
      <c r="H14" s="761">
        <f t="shared" si="1"/>
        <v>0</v>
      </c>
      <c r="I14" s="761">
        <f t="shared" si="1"/>
        <v>0</v>
      </c>
      <c r="J14" s="761">
        <f t="shared" si="1"/>
        <v>0</v>
      </c>
      <c r="K14" s="762">
        <f t="shared" si="1"/>
        <v>0</v>
      </c>
    </row>
    <row r="15" spans="1:19">
      <c r="B15" s="35" t="s">
        <v>442</v>
      </c>
      <c r="C15" s="152" t="s">
        <v>128</v>
      </c>
      <c r="D15" s="640">
        <v>0</v>
      </c>
      <c r="E15" s="641">
        <v>0</v>
      </c>
      <c r="F15" s="641">
        <v>0</v>
      </c>
      <c r="G15" s="641">
        <v>0</v>
      </c>
      <c r="H15" s="641">
        <v>0</v>
      </c>
      <c r="I15" s="641">
        <v>0</v>
      </c>
      <c r="J15" s="641">
        <v>0</v>
      </c>
      <c r="K15" s="642">
        <v>0</v>
      </c>
    </row>
    <row r="16" spans="1:19">
      <c r="B16" s="51" t="s">
        <v>449</v>
      </c>
      <c r="C16" s="152" t="s">
        <v>128</v>
      </c>
      <c r="D16" s="760">
        <f>D14-D15</f>
        <v>0</v>
      </c>
      <c r="E16" s="760">
        <f t="shared" ref="E16:K16" si="2">E14-E15</f>
        <v>0</v>
      </c>
      <c r="F16" s="760">
        <f t="shared" si="2"/>
        <v>0</v>
      </c>
      <c r="G16" s="760">
        <f t="shared" si="2"/>
        <v>0</v>
      </c>
      <c r="H16" s="760">
        <f t="shared" si="2"/>
        <v>0</v>
      </c>
      <c r="I16" s="760">
        <f t="shared" si="2"/>
        <v>0</v>
      </c>
      <c r="J16" s="760">
        <f t="shared" si="2"/>
        <v>0</v>
      </c>
      <c r="K16" s="760">
        <f t="shared" si="2"/>
        <v>0</v>
      </c>
    </row>
    <row r="18" spans="2:11">
      <c r="B18" s="14" t="s">
        <v>446</v>
      </c>
      <c r="D18" s="763"/>
      <c r="E18" s="763"/>
      <c r="F18" s="763"/>
      <c r="G18" s="763"/>
      <c r="H18" s="763"/>
      <c r="I18" s="763"/>
      <c r="J18" s="763"/>
      <c r="K18" s="763"/>
    </row>
    <row r="19" spans="2:11">
      <c r="B19" s="848" t="s">
        <v>447</v>
      </c>
      <c r="C19" s="152" t="s">
        <v>128</v>
      </c>
      <c r="D19" s="640">
        <v>8.3250000000000008E-3</v>
      </c>
      <c r="E19" s="641">
        <v>3.1099999999999999E-3</v>
      </c>
      <c r="F19" s="641">
        <v>1.5025000000000002E-2</v>
      </c>
      <c r="G19" s="641">
        <v>3.0995000000000002E-2</v>
      </c>
      <c r="H19" s="641">
        <v>4.9244999999999997E-2</v>
      </c>
      <c r="I19" s="641">
        <v>8.1960000000000005E-2</v>
      </c>
      <c r="J19" s="641">
        <v>0</v>
      </c>
      <c r="K19" s="642">
        <v>0</v>
      </c>
    </row>
    <row r="20" spans="2:11">
      <c r="B20" s="35" t="s">
        <v>442</v>
      </c>
      <c r="C20" s="152" t="s">
        <v>128</v>
      </c>
      <c r="D20" s="640">
        <v>1.5817500000000003E-3</v>
      </c>
      <c r="E20" s="641">
        <v>5.909E-4</v>
      </c>
      <c r="F20" s="641">
        <v>2.8547500000000005E-3</v>
      </c>
      <c r="G20" s="641">
        <v>5.8890500000000007E-3</v>
      </c>
      <c r="H20" s="641">
        <v>9.3565499999999999E-3</v>
      </c>
      <c r="I20" s="641">
        <v>1.5572400000000002E-2</v>
      </c>
      <c r="J20" s="641">
        <v>0</v>
      </c>
      <c r="K20" s="642">
        <v>0</v>
      </c>
    </row>
    <row r="21" spans="2:11">
      <c r="B21" s="51" t="s">
        <v>450</v>
      </c>
      <c r="C21" s="152" t="s">
        <v>128</v>
      </c>
      <c r="D21" s="760">
        <f>D19-D20</f>
        <v>6.743250000000001E-3</v>
      </c>
      <c r="E21" s="760">
        <f t="shared" ref="E21:K21" si="3">E19-E20</f>
        <v>2.5190999999999998E-3</v>
      </c>
      <c r="F21" s="760">
        <f t="shared" si="3"/>
        <v>1.2170250000000001E-2</v>
      </c>
      <c r="G21" s="760">
        <f t="shared" si="3"/>
        <v>2.5105950000000002E-2</v>
      </c>
      <c r="H21" s="760">
        <f t="shared" si="3"/>
        <v>3.9888449999999999E-2</v>
      </c>
      <c r="I21" s="760">
        <f t="shared" si="3"/>
        <v>6.6387600000000005E-2</v>
      </c>
      <c r="J21" s="760">
        <f t="shared" si="3"/>
        <v>0</v>
      </c>
      <c r="K21" s="760">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CD119CE5813C141ADA267664DB7A0C2" ma:contentTypeVersion="3" ma:contentTypeDescription="Create a new document." ma:contentTypeScope="" ma:versionID="d50a52fef446baabae63130bd21e3966">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162E689-60A6-4DDD-AF52-087B8FD2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Holland, David</cp:lastModifiedBy>
  <cp:lastPrinted>2018-10-02T10:25:02Z</cp:lastPrinted>
  <dcterms:created xsi:type="dcterms:W3CDTF">2018-06-13T08:32:09Z</dcterms:created>
  <dcterms:modified xsi:type="dcterms:W3CDTF">2021-07-27T17:03:41Z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0x0101005CD119CE5813C141ADA267664DB7A0C2</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MSIP_Label_019c027e-33b7-45fc-a572-8ffa5d09ec36_Enabled">
    <vt:lpwstr>true</vt:lpwstr>
  </property>
  <property fmtid="{D5CDD505-2E9C-101B-9397-08002B2CF9AE}" pid="17" name="MSIP_Label_019c027e-33b7-45fc-a572-8ffa5d09ec36_SetDate">
    <vt:lpwstr>2021-07-27T17:03:40Z</vt:lpwstr>
  </property>
  <property fmtid="{D5CDD505-2E9C-101B-9397-08002B2CF9AE}" pid="18" name="MSIP_Label_019c027e-33b7-45fc-a572-8ffa5d09ec36_Method">
    <vt:lpwstr>Standard</vt:lpwstr>
  </property>
  <property fmtid="{D5CDD505-2E9C-101B-9397-08002B2CF9AE}" pid="19" name="MSIP_Label_019c027e-33b7-45fc-a572-8ffa5d09ec36_Name">
    <vt:lpwstr>Internal Use</vt:lpwstr>
  </property>
  <property fmtid="{D5CDD505-2E9C-101B-9397-08002B2CF9AE}" pid="20" name="MSIP_Label_019c027e-33b7-45fc-a572-8ffa5d09ec36_SiteId">
    <vt:lpwstr>031a09bc-a2bf-44df-888e-4e09355b7a24</vt:lpwstr>
  </property>
  <property fmtid="{D5CDD505-2E9C-101B-9397-08002B2CF9AE}" pid="21" name="MSIP_Label_019c027e-33b7-45fc-a572-8ffa5d09ec36_ActionId">
    <vt:lpwstr>bfec4834-014f-432b-9998-bbd3d5e6ed15</vt:lpwstr>
  </property>
  <property fmtid="{D5CDD505-2E9C-101B-9397-08002B2CF9AE}" pid="22" name="MSIP_Label_019c027e-33b7-45fc-a572-8ffa5d09ec36_ContentBits">
    <vt:lpwstr>2</vt:lpwstr>
  </property>
</Properties>
</file>