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userName="Holland, David" algorithmName="SHA-512" hashValue="VGvSk6Bs9XpOXl/obBUvQ5o2V+k/QRBdjBThzscPBqp3/YwtYF3JFmXBdO7+cOX/4fAWYqSZOunuE9zrFdQwJw==" saltValue="RQgytAt49ZGyv5roWC/JoA==" spinCount="100000"/>
  <workbookPr codeName="ThisWorkbook"/>
  <mc:AlternateContent xmlns:mc="http://schemas.openxmlformats.org/markup-compatibility/2006">
    <mc:Choice Requires="x15">
      <x15ac:absPath xmlns:x15ac="http://schemas.microsoft.com/office/spreadsheetml/2010/11/ac" url="http://spwshare/ensites/reg/licfin/RFPR 2021/01_Consol/02_Final/Website/"/>
    </mc:Choice>
  </mc:AlternateContent>
  <xr:revisionPtr revIDLastSave="0" documentId="8_{A6FA5B4E-00D6-4CD7-B502-7603D71F7F96}" xr6:coauthVersionLast="44" xr6:coauthVersionMax="44" xr10:uidLastSave="{00000000-0000-0000-0000-000000000000}"/>
  <bookViews>
    <workbookView xWindow="-28920" yWindow="-120" windowWidth="29040" windowHeight="15840"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0" i="29" l="1"/>
  <c r="I43" i="28" l="1"/>
  <c r="B21" i="1" l="1"/>
  <c r="B3" i="1" l="1"/>
  <c r="E50" i="29" l="1"/>
  <c r="G50" i="29"/>
  <c r="H50" i="29"/>
  <c r="I50" i="29"/>
  <c r="J50" i="29"/>
  <c r="K50" i="29"/>
  <c r="M47" i="17"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I13" i="11"/>
  <c r="H13" i="11"/>
  <c r="G13" i="11"/>
  <c r="F13" i="11"/>
  <c r="E13" i="11"/>
  <c r="D13" i="11"/>
  <c r="B3" i="11"/>
  <c r="A3" i="11"/>
  <c r="A2" i="11"/>
  <c r="K68" i="29"/>
  <c r="J68" i="29"/>
  <c r="I68" i="29"/>
  <c r="H68" i="29"/>
  <c r="G68" i="29"/>
  <c r="F68" i="29"/>
  <c r="E68" i="29"/>
  <c r="D68" i="29"/>
  <c r="K62" i="29"/>
  <c r="J62" i="29"/>
  <c r="I62" i="29"/>
  <c r="H62" i="29"/>
  <c r="G62" i="29"/>
  <c r="F62" i="29"/>
  <c r="E62" i="29"/>
  <c r="D62" i="29"/>
  <c r="K19" i="29"/>
  <c r="J19" i="29"/>
  <c r="I19" i="29"/>
  <c r="H19" i="29"/>
  <c r="G19" i="29"/>
  <c r="F19" i="29"/>
  <c r="E19" i="29"/>
  <c r="D19" i="29"/>
  <c r="A3" i="29"/>
  <c r="A2" i="29"/>
  <c r="K28" i="10"/>
  <c r="K31" i="10" s="1"/>
  <c r="J28" i="10"/>
  <c r="J31" i="10" s="1"/>
  <c r="I28" i="10"/>
  <c r="I31" i="10" s="1"/>
  <c r="H28" i="10"/>
  <c r="H31" i="10" s="1"/>
  <c r="G28" i="10"/>
  <c r="G31" i="10" s="1"/>
  <c r="F28" i="10"/>
  <c r="F31" i="10" s="1"/>
  <c r="E28" i="10"/>
  <c r="E31" i="10" s="1"/>
  <c r="D28" i="10"/>
  <c r="D31" i="10" s="1"/>
  <c r="K24" i="10"/>
  <c r="J24" i="10"/>
  <c r="I24" i="10"/>
  <c r="H24" i="10"/>
  <c r="G24" i="10"/>
  <c r="F24" i="10"/>
  <c r="E24" i="10"/>
  <c r="D24" i="10"/>
  <c r="K21" i="10"/>
  <c r="J21" i="10"/>
  <c r="I21" i="10"/>
  <c r="H21" i="10"/>
  <c r="G21" i="10"/>
  <c r="F21" i="10"/>
  <c r="E21" i="10"/>
  <c r="D21" i="10"/>
  <c r="D18" i="10"/>
  <c r="D29" i="10" s="1"/>
  <c r="E16" i="10" s="1"/>
  <c r="E18" i="10" s="1"/>
  <c r="E29" i="10" s="1"/>
  <c r="F16" i="10" s="1"/>
  <c r="F18" i="10" s="1"/>
  <c r="F29" i="10" s="1"/>
  <c r="G16" i="10" s="1"/>
  <c r="G18" i="10" s="1"/>
  <c r="A3" i="10"/>
  <c r="A2" i="10"/>
  <c r="I8" i="27"/>
  <c r="H8" i="27"/>
  <c r="K52" i="27"/>
  <c r="J52" i="27"/>
  <c r="I52" i="27"/>
  <c r="H52" i="27"/>
  <c r="G52" i="27"/>
  <c r="F52" i="27"/>
  <c r="E52" i="27"/>
  <c r="D52" i="27"/>
  <c r="B3" i="27"/>
  <c r="A3" i="27"/>
  <c r="A2" i="27"/>
  <c r="L6" i="17"/>
  <c r="B3" i="17"/>
  <c r="A3" i="17"/>
  <c r="A2" i="17"/>
  <c r="K17" i="3"/>
  <c r="K18" i="4" s="1"/>
  <c r="J17" i="3"/>
  <c r="J18" i="4" s="1"/>
  <c r="I17" i="3"/>
  <c r="I18" i="4" s="1"/>
  <c r="H17" i="3"/>
  <c r="H18" i="4" s="1"/>
  <c r="G17" i="3"/>
  <c r="G18" i="4" s="1"/>
  <c r="F17" i="3"/>
  <c r="F18" i="4" s="1"/>
  <c r="E17" i="3"/>
  <c r="E18" i="4" s="1"/>
  <c r="D17" i="3"/>
  <c r="D18" i="4" s="1"/>
  <c r="K12" i="3"/>
  <c r="J12" i="3"/>
  <c r="J17" i="4" s="1"/>
  <c r="I12" i="3"/>
  <c r="I17" i="4" s="1"/>
  <c r="H12" i="3"/>
  <c r="H17" i="4" s="1"/>
  <c r="G12" i="3"/>
  <c r="G17" i="4" s="1"/>
  <c r="F12" i="3"/>
  <c r="F17" i="4" s="1"/>
  <c r="E12" i="3"/>
  <c r="E17" i="4" s="1"/>
  <c r="D12" i="3"/>
  <c r="D17" i="4" s="1"/>
  <c r="B3" i="3"/>
  <c r="A3" i="3"/>
  <c r="A2" i="3"/>
  <c r="K102" i="5"/>
  <c r="K15" i="4" s="1"/>
  <c r="J102" i="5"/>
  <c r="J15" i="4" s="1"/>
  <c r="I102" i="5"/>
  <c r="I15" i="4" s="1"/>
  <c r="H102" i="5"/>
  <c r="H15" i="4" s="1"/>
  <c r="G102" i="5"/>
  <c r="G15" i="4" s="1"/>
  <c r="F102" i="5"/>
  <c r="F15" i="4" s="1"/>
  <c r="E102" i="5"/>
  <c r="E15" i="4" s="1"/>
  <c r="D102" i="5"/>
  <c r="D15" i="4" s="1"/>
  <c r="A100" i="5"/>
  <c r="A111" i="5" s="1"/>
  <c r="A97" i="5"/>
  <c r="A110" i="5" s="1"/>
  <c r="A94" i="5"/>
  <c r="A109" i="5" s="1"/>
  <c r="A91" i="5"/>
  <c r="A108" i="5" s="1"/>
  <c r="A88" i="5"/>
  <c r="A107" i="5" s="1"/>
  <c r="A85" i="5"/>
  <c r="A106" i="5" s="1"/>
  <c r="A82" i="5"/>
  <c r="A105" i="5" s="1"/>
  <c r="K73" i="5"/>
  <c r="J73" i="5"/>
  <c r="I73" i="5"/>
  <c r="H73" i="5"/>
  <c r="G73" i="5"/>
  <c r="F73" i="5"/>
  <c r="E73" i="5"/>
  <c r="D73" i="5"/>
  <c r="A69" i="5"/>
  <c r="I69" i="5" s="1"/>
  <c r="A65" i="5"/>
  <c r="I65" i="5" s="1"/>
  <c r="A61" i="5"/>
  <c r="I61" i="5" s="1"/>
  <c r="A57" i="5"/>
  <c r="I57" i="5" s="1"/>
  <c r="A53" i="5"/>
  <c r="I53" i="5" s="1"/>
  <c r="A49" i="5"/>
  <c r="I49" i="5" s="1"/>
  <c r="A45" i="5"/>
  <c r="A44" i="5"/>
  <c r="A43" i="5"/>
  <c r="A42" i="5"/>
  <c r="A41" i="5"/>
  <c r="A40" i="5"/>
  <c r="A39" i="5"/>
  <c r="A25" i="5"/>
  <c r="A24" i="5"/>
  <c r="A23" i="5"/>
  <c r="A22" i="5"/>
  <c r="A21" i="5"/>
  <c r="K18" i="5"/>
  <c r="J18" i="5"/>
  <c r="I18" i="5"/>
  <c r="H18" i="5"/>
  <c r="G18" i="5"/>
  <c r="F18" i="5"/>
  <c r="E18" i="5"/>
  <c r="D18" i="5"/>
  <c r="M17" i="5"/>
  <c r="M16" i="5"/>
  <c r="M15" i="5"/>
  <c r="M14" i="5"/>
  <c r="M13" i="5"/>
  <c r="M12" i="5"/>
  <c r="M11"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5" i="2"/>
  <c r="M54" i="2"/>
  <c r="M53" i="2"/>
  <c r="M52" i="2"/>
  <c r="M51" i="2"/>
  <c r="M50" i="2"/>
  <c r="K44" i="2"/>
  <c r="J44" i="2"/>
  <c r="I44" i="2"/>
  <c r="H44" i="2"/>
  <c r="G44" i="2"/>
  <c r="F44" i="2"/>
  <c r="E44" i="2"/>
  <c r="D44" i="2"/>
  <c r="K42" i="2"/>
  <c r="J42" i="2"/>
  <c r="I42" i="2"/>
  <c r="H42" i="2"/>
  <c r="G42" i="2"/>
  <c r="F42" i="2"/>
  <c r="E42" i="2"/>
  <c r="D42" i="2"/>
  <c r="M41" i="2"/>
  <c r="M40" i="2"/>
  <c r="M42" i="2" s="1"/>
  <c r="K28" i="2"/>
  <c r="J28" i="2"/>
  <c r="I28" i="2"/>
  <c r="H28" i="2"/>
  <c r="G28" i="2"/>
  <c r="F28" i="2"/>
  <c r="E28" i="2"/>
  <c r="D28" i="2"/>
  <c r="M27" i="2"/>
  <c r="M26" i="2"/>
  <c r="M25" i="2"/>
  <c r="M24" i="2"/>
  <c r="M23" i="2"/>
  <c r="M22" i="2"/>
  <c r="K16" i="2"/>
  <c r="J16" i="2"/>
  <c r="I16" i="2"/>
  <c r="H16" i="2"/>
  <c r="G16" i="2"/>
  <c r="F16" i="2"/>
  <c r="E16" i="2"/>
  <c r="D16" i="2"/>
  <c r="K14" i="2"/>
  <c r="J14" i="2"/>
  <c r="I14" i="2"/>
  <c r="H14" i="2"/>
  <c r="G14" i="2"/>
  <c r="F14" i="2"/>
  <c r="E14" i="2"/>
  <c r="D14" i="2"/>
  <c r="M13" i="2"/>
  <c r="M12" i="2"/>
  <c r="L6" i="2"/>
  <c r="A3" i="2"/>
  <c r="A2" i="2"/>
  <c r="K78" i="15"/>
  <c r="J78" i="15"/>
  <c r="I78" i="15"/>
  <c r="H78" i="15"/>
  <c r="G78" i="15"/>
  <c r="F78" i="15"/>
  <c r="E78" i="15"/>
  <c r="D78" i="15"/>
  <c r="K46" i="15"/>
  <c r="J46" i="15"/>
  <c r="I46" i="15"/>
  <c r="H46" i="15"/>
  <c r="G46" i="15"/>
  <c r="F46" i="15"/>
  <c r="E46" i="15"/>
  <c r="D46" i="15"/>
  <c r="K18" i="15"/>
  <c r="K23" i="15" s="1"/>
  <c r="J18" i="15"/>
  <c r="J23" i="15" s="1"/>
  <c r="I18" i="15"/>
  <c r="I23" i="15" s="1"/>
  <c r="H18" i="15"/>
  <c r="H23" i="15" s="1"/>
  <c r="G18" i="15"/>
  <c r="G23" i="15" s="1"/>
  <c r="F18" i="15"/>
  <c r="F23" i="15" s="1"/>
  <c r="E18" i="15"/>
  <c r="E23" i="15" s="1"/>
  <c r="D18" i="15"/>
  <c r="D23" i="15" s="1"/>
  <c r="A3" i="15"/>
  <c r="A2" i="15"/>
  <c r="K64" i="4"/>
  <c r="J64" i="4"/>
  <c r="I64" i="4"/>
  <c r="H64" i="4"/>
  <c r="G64" i="4"/>
  <c r="F64" i="4"/>
  <c r="E64" i="4"/>
  <c r="D64" i="4"/>
  <c r="K45" i="4"/>
  <c r="K66" i="4" s="1"/>
  <c r="K68" i="4" s="1"/>
  <c r="J45" i="4"/>
  <c r="J66" i="4" s="1"/>
  <c r="J68" i="4" s="1"/>
  <c r="I45" i="4"/>
  <c r="I66" i="4" s="1"/>
  <c r="I68" i="4" s="1"/>
  <c r="H45" i="4"/>
  <c r="G45" i="4"/>
  <c r="F45" i="4"/>
  <c r="F66" i="4" s="1"/>
  <c r="F68" i="4" s="1"/>
  <c r="E45" i="4"/>
  <c r="E66" i="4" s="1"/>
  <c r="E68" i="4" s="1"/>
  <c r="D45" i="4"/>
  <c r="D66" i="4" s="1"/>
  <c r="D68" i="4" s="1"/>
  <c r="K28" i="4"/>
  <c r="J28" i="4"/>
  <c r="K17"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F159" i="28" s="1"/>
  <c r="B202" i="28"/>
  <c r="F158" i="28" s="1"/>
  <c r="E192" i="28"/>
  <c r="F157" i="28" s="1"/>
  <c r="B192" i="28"/>
  <c r="E182" i="28"/>
  <c r="F155" i="28" s="1"/>
  <c r="B182" i="28"/>
  <c r="F154" i="28" s="1"/>
  <c r="F156" i="28"/>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D50" i="28"/>
  <c r="E50" i="28" s="1"/>
  <c r="F50" i="28" s="1"/>
  <c r="G50" i="28" s="1"/>
  <c r="H50" i="28" s="1"/>
  <c r="I50" i="28" s="1"/>
  <c r="J50" i="28" s="1"/>
  <c r="C48" i="28"/>
  <c r="B45" i="28"/>
  <c r="J43" i="28"/>
  <c r="E42" i="28"/>
  <c r="F42" i="28" s="1"/>
  <c r="G42" i="28" s="1"/>
  <c r="H42" i="28" s="1"/>
  <c r="I42" i="28" s="1"/>
  <c r="J42" i="28" s="1"/>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D6" i="15" s="1"/>
  <c r="C12" i="13"/>
  <c r="C11" i="13"/>
  <c r="C10" i="13"/>
  <c r="C6" i="13"/>
  <c r="A3" i="13"/>
  <c r="A2" i="13"/>
  <c r="I58" i="2" l="1"/>
  <c r="G29" i="10"/>
  <c r="H16" i="10" s="1"/>
  <c r="H18" i="10" s="1"/>
  <c r="H29" i="10" s="1"/>
  <c r="I16" i="10" s="1"/>
  <c r="I18" i="10" s="1"/>
  <c r="I29" i="10" s="1"/>
  <c r="J16" i="10" s="1"/>
  <c r="J18" i="10" s="1"/>
  <c r="J29" i="10" s="1"/>
  <c r="K16" i="10" s="1"/>
  <c r="K18" i="10" s="1"/>
  <c r="K29" i="10" s="1"/>
  <c r="E58" i="2"/>
  <c r="D23" i="27"/>
  <c r="E156" i="28"/>
  <c r="H66" i="4"/>
  <c r="H68" i="4" s="1"/>
  <c r="E31" i="2"/>
  <c r="I31" i="2"/>
  <c r="F55" i="17"/>
  <c r="M14" i="2"/>
  <c r="J55" i="17"/>
  <c r="H58" i="2"/>
  <c r="C14" i="13"/>
  <c r="C42" i="2" s="1"/>
  <c r="G66" i="4"/>
  <c r="G68" i="4" s="1"/>
  <c r="G26" i="4"/>
  <c r="G28" i="4" s="1"/>
  <c r="F26" i="4"/>
  <c r="F28" i="4" s="1"/>
  <c r="J26" i="4"/>
  <c r="K26" i="4"/>
  <c r="K55" i="17"/>
  <c r="H55" i="17"/>
  <c r="E55" i="17"/>
  <c r="I55" i="17"/>
  <c r="D55" i="17"/>
  <c r="D26" i="4"/>
  <c r="D28" i="4" s="1"/>
  <c r="H26" i="4"/>
  <c r="H28" i="4" s="1"/>
  <c r="M73" i="5"/>
  <c r="G55" i="17"/>
  <c r="M49" i="17"/>
  <c r="M50" i="17"/>
  <c r="M53" i="17"/>
  <c r="H28" i="17"/>
  <c r="H30" i="17" s="1"/>
  <c r="E26" i="4"/>
  <c r="E28" i="4" s="1"/>
  <c r="I26" i="4"/>
  <c r="I28" i="4" s="1"/>
  <c r="F31" i="2"/>
  <c r="M56" i="2"/>
  <c r="M18" i="5"/>
  <c r="E49" i="5"/>
  <c r="E57" i="5"/>
  <c r="E65" i="5"/>
  <c r="G19" i="2"/>
  <c r="K31" i="2"/>
  <c r="K47" i="2"/>
  <c r="M52" i="17"/>
  <c r="E48" i="15"/>
  <c r="E80" i="15" s="1"/>
  <c r="G48" i="15"/>
  <c r="G80" i="15" s="1"/>
  <c r="I48" i="15"/>
  <c r="I80" i="15" s="1"/>
  <c r="K48" i="15"/>
  <c r="K80" i="15" s="1"/>
  <c r="F26" i="28"/>
  <c r="D48" i="15"/>
  <c r="D80" i="15" s="1"/>
  <c r="F48" i="15"/>
  <c r="F80" i="15" s="1"/>
  <c r="H48" i="15"/>
  <c r="H80" i="15" s="1"/>
  <c r="J48" i="15"/>
  <c r="J80" i="15" s="1"/>
  <c r="M28" i="2"/>
  <c r="J49" i="5"/>
  <c r="H49" i="5"/>
  <c r="F49" i="5"/>
  <c r="D49" i="5"/>
  <c r="G49" i="5"/>
  <c r="K49" i="5"/>
  <c r="E53" i="5"/>
  <c r="J57" i="5"/>
  <c r="H57" i="5"/>
  <c r="F57" i="5"/>
  <c r="D57" i="5"/>
  <c r="G57" i="5"/>
  <c r="K57" i="5"/>
  <c r="E61" i="5"/>
  <c r="J65" i="5"/>
  <c r="H65" i="5"/>
  <c r="F65" i="5"/>
  <c r="D65" i="5"/>
  <c r="G65" i="5"/>
  <c r="K65" i="5"/>
  <c r="E69" i="5"/>
  <c r="J53" i="5"/>
  <c r="H53" i="5"/>
  <c r="F53" i="5"/>
  <c r="D53" i="5"/>
  <c r="G53" i="5"/>
  <c r="K53" i="5"/>
  <c r="J61" i="5"/>
  <c r="H61" i="5"/>
  <c r="F61" i="5"/>
  <c r="D61" i="5"/>
  <c r="G61" i="5"/>
  <c r="K61" i="5"/>
  <c r="J69" i="5"/>
  <c r="H69" i="5"/>
  <c r="F69" i="5"/>
  <c r="D69" i="5"/>
  <c r="G69" i="5"/>
  <c r="K69" i="5"/>
  <c r="D19" i="2"/>
  <c r="J18" i="2"/>
  <c r="F46" i="2"/>
  <c r="M48" i="17"/>
  <c r="M51" i="17"/>
  <c r="D42" i="27"/>
  <c r="K8" i="27"/>
  <c r="I70" i="29"/>
  <c r="I74" i="29" s="1"/>
  <c r="F70" i="29"/>
  <c r="F74" i="29" s="1"/>
  <c r="J70" i="29"/>
  <c r="J74" i="29" s="1"/>
  <c r="E70" i="29"/>
  <c r="E74" i="29" s="1"/>
  <c r="G70" i="29"/>
  <c r="G74" i="29" s="1"/>
  <c r="K70" i="29"/>
  <c r="K74" i="29" s="1"/>
  <c r="D70" i="29"/>
  <c r="D74" i="29" s="1"/>
  <c r="H70" i="29"/>
  <c r="H74" i="29" s="1"/>
  <c r="I59" i="2"/>
  <c r="K46" i="2"/>
  <c r="G18" i="2"/>
  <c r="K18" i="2"/>
  <c r="G30" i="2"/>
  <c r="F47" i="2"/>
  <c r="G31" i="2"/>
  <c r="E46" i="2"/>
  <c r="E62" i="2" s="1"/>
  <c r="I46" i="2"/>
  <c r="I62" i="2" s="1"/>
  <c r="E59" i="2"/>
  <c r="E6" i="15"/>
  <c r="D5" i="15"/>
  <c r="E154" i="28"/>
  <c r="E159" i="28"/>
  <c r="C51" i="1"/>
  <c r="C55" i="1"/>
  <c r="C61" i="1"/>
  <c r="C11" i="4"/>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59" i="2"/>
  <c r="J58" i="2"/>
  <c r="J59" i="2"/>
  <c r="J47" i="2"/>
  <c r="J46" i="2"/>
  <c r="J41" i="10"/>
  <c r="F41" i="10"/>
  <c r="I41" i="10"/>
  <c r="E41" i="10"/>
  <c r="H41" i="10"/>
  <c r="D41" i="10"/>
  <c r="G41" i="10"/>
  <c r="K41" i="10"/>
  <c r="C8" i="20"/>
  <c r="C14" i="19"/>
  <c r="C86" i="29"/>
  <c r="C74" i="29"/>
  <c r="C68" i="29"/>
  <c r="C61" i="29"/>
  <c r="C47" i="10"/>
  <c r="C29" i="10"/>
  <c r="C25" i="10"/>
  <c r="C21" i="10"/>
  <c r="C17" i="10"/>
  <c r="C16" i="10"/>
  <c r="C61" i="27"/>
  <c r="C90" i="17"/>
  <c r="C79" i="17"/>
  <c r="C28" i="3"/>
  <c r="C19" i="19"/>
  <c r="C83" i="29"/>
  <c r="C73" i="29"/>
  <c r="C67" i="29"/>
  <c r="C60" i="29"/>
  <c r="C51" i="10"/>
  <c r="C46" i="10"/>
  <c r="C28" i="10"/>
  <c r="C24" i="10"/>
  <c r="C20" i="10"/>
  <c r="C11" i="10"/>
  <c r="C88" i="17"/>
  <c r="C70" i="17"/>
  <c r="C18" i="19"/>
  <c r="C89" i="29"/>
  <c r="C81" i="29"/>
  <c r="C72" i="29"/>
  <c r="C66" i="29"/>
  <c r="C53" i="29"/>
  <c r="C50" i="10"/>
  <c r="C45" i="10"/>
  <c r="C27" i="10"/>
  <c r="C23" i="10"/>
  <c r="C19" i="10"/>
  <c r="C63" i="27"/>
  <c r="C86" i="17"/>
  <c r="C69" i="17"/>
  <c r="C17" i="19"/>
  <c r="C71" i="29"/>
  <c r="C41" i="29"/>
  <c r="C49" i="10"/>
  <c r="C26" i="10"/>
  <c r="C80" i="17"/>
  <c r="C69" i="5"/>
  <c r="C53" i="5"/>
  <c r="C43" i="5"/>
  <c r="C39" i="5"/>
  <c r="C17" i="5"/>
  <c r="C16" i="5"/>
  <c r="C15" i="5"/>
  <c r="C14" i="5"/>
  <c r="C13" i="5"/>
  <c r="C12" i="5"/>
  <c r="C11" i="5"/>
  <c r="C62" i="29"/>
  <c r="C22" i="10"/>
  <c r="C88" i="29"/>
  <c r="C18" i="10"/>
  <c r="C62" i="27"/>
  <c r="C73" i="5"/>
  <c r="C61" i="5"/>
  <c r="C79"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E155" i="28"/>
  <c r="C52" i="1"/>
  <c r="C57" i="1"/>
  <c r="D30" i="2"/>
  <c r="D31" i="2"/>
  <c r="D18" i="2"/>
  <c r="H30" i="2"/>
  <c r="H31" i="2"/>
  <c r="H18" i="2"/>
  <c r="C18" i="2"/>
  <c r="H19" i="2"/>
  <c r="C24" i="2"/>
  <c r="C27" i="2"/>
  <c r="E19" i="2"/>
  <c r="I19" i="2"/>
  <c r="I30" i="2"/>
  <c r="G58" i="2"/>
  <c r="G59" i="2"/>
  <c r="K58" i="2"/>
  <c r="K59" i="2"/>
  <c r="K63" i="2" s="1"/>
  <c r="G46" i="2"/>
  <c r="G47" i="2"/>
  <c r="E18" i="2"/>
  <c r="I18" i="2"/>
  <c r="I34" i="2" s="1"/>
  <c r="F19" i="2"/>
  <c r="J19" i="2"/>
  <c r="E30" i="2"/>
  <c r="J30" i="2"/>
  <c r="J31" i="2"/>
  <c r="D59" i="2"/>
  <c r="D46" i="2"/>
  <c r="H59" i="2"/>
  <c r="H46" i="2"/>
  <c r="H47" i="2"/>
  <c r="F18" i="2"/>
  <c r="K19" i="2"/>
  <c r="F30" i="2"/>
  <c r="K30" i="2"/>
  <c r="D47" i="2"/>
  <c r="D58" i="2"/>
  <c r="E47" i="2"/>
  <c r="I47" i="2"/>
  <c r="E23" i="27"/>
  <c r="E42" i="27" s="1"/>
  <c r="E44" i="27" s="1"/>
  <c r="E48" i="27" s="1"/>
  <c r="F47" i="27" s="1"/>
  <c r="F23" i="27"/>
  <c r="F42" i="27" s="1"/>
  <c r="E8" i="27"/>
  <c r="F8" i="27"/>
  <c r="K23" i="27"/>
  <c r="K42" i="27" s="1"/>
  <c r="G23" i="27"/>
  <c r="G42" i="27" s="1"/>
  <c r="H23" i="27"/>
  <c r="H42" i="27" s="1"/>
  <c r="G8" i="27"/>
  <c r="G63" i="2" l="1"/>
  <c r="G62" i="2"/>
  <c r="F35" i="2"/>
  <c r="I63" i="2"/>
  <c r="E35" i="2"/>
  <c r="G35" i="2"/>
  <c r="G70" i="2" s="1"/>
  <c r="H62" i="2"/>
  <c r="K62" i="2"/>
  <c r="H107" i="17"/>
  <c r="J23" i="27"/>
  <c r="J42" i="27" s="1"/>
  <c r="J44" i="27" s="1"/>
  <c r="J48" i="27" s="1"/>
  <c r="K47" i="27" s="1"/>
  <c r="I35" i="2"/>
  <c r="I70" i="2" s="1"/>
  <c r="K35" i="2"/>
  <c r="K49" i="1" s="1"/>
  <c r="J34" i="2"/>
  <c r="D50" i="15"/>
  <c r="M46" i="17"/>
  <c r="F44" i="27"/>
  <c r="F48" i="27" s="1"/>
  <c r="G47" i="27" s="1"/>
  <c r="D44" i="27"/>
  <c r="D48" i="27" s="1"/>
  <c r="E47" i="27" s="1"/>
  <c r="E54" i="27" s="1"/>
  <c r="J28" i="17"/>
  <c r="J30" i="17" s="1"/>
  <c r="F62" i="2"/>
  <c r="E28" i="17"/>
  <c r="E30" i="17" s="1"/>
  <c r="D28" i="17"/>
  <c r="D30" i="17" s="1"/>
  <c r="F28" i="17"/>
  <c r="F30" i="17" s="1"/>
  <c r="I28" i="17"/>
  <c r="I30" i="17" s="1"/>
  <c r="K28" i="17"/>
  <c r="K30" i="17" s="1"/>
  <c r="G28" i="17"/>
  <c r="G30" i="17" s="1"/>
  <c r="M65" i="5"/>
  <c r="M49" i="5"/>
  <c r="M69" i="5"/>
  <c r="M61" i="5"/>
  <c r="M53" i="5"/>
  <c r="M57" i="5"/>
  <c r="B153" i="28"/>
  <c r="B11" i="5" s="1"/>
  <c r="G34" i="2"/>
  <c r="G69" i="2" s="1"/>
  <c r="K34" i="2"/>
  <c r="I64" i="2"/>
  <c r="J35" i="2"/>
  <c r="F63" i="2"/>
  <c r="F70" i="2" s="1"/>
  <c r="M58" i="2"/>
  <c r="M59" i="2"/>
  <c r="H35" i="2"/>
  <c r="E63" i="2"/>
  <c r="E64" i="2" s="1"/>
  <c r="K64" i="2"/>
  <c r="D78" i="2"/>
  <c r="E6" i="2"/>
  <c r="D5" i="2"/>
  <c r="D77" i="2"/>
  <c r="E6" i="27"/>
  <c r="D5" i="27"/>
  <c r="D5" i="20"/>
  <c r="E6" i="20"/>
  <c r="F6" i="15"/>
  <c r="E5" i="15"/>
  <c r="E50" i="15" s="1"/>
  <c r="F34" i="2"/>
  <c r="I69" i="2"/>
  <c r="H34" i="2"/>
  <c r="M31" i="2"/>
  <c r="D5" i="1"/>
  <c r="E6" i="1"/>
  <c r="E6" i="29"/>
  <c r="E5" i="29" s="1"/>
  <c r="D22" i="29"/>
  <c r="E6" i="10"/>
  <c r="E5" i="10" s="1"/>
  <c r="D40" i="10"/>
  <c r="D43" i="10" s="1"/>
  <c r="D47" i="10" s="1"/>
  <c r="D63" i="27" s="1"/>
  <c r="D32" i="10"/>
  <c r="D36" i="10"/>
  <c r="D63" i="2"/>
  <c r="M47" i="2"/>
  <c r="G64" i="2"/>
  <c r="D34" i="2"/>
  <c r="M18" i="2"/>
  <c r="H63" i="2"/>
  <c r="D62" i="2"/>
  <c r="M46" i="2"/>
  <c r="E34" i="2"/>
  <c r="M30" i="2"/>
  <c r="B159" i="28"/>
  <c r="B17" i="5" s="1"/>
  <c r="B160" i="28"/>
  <c r="B156" i="28"/>
  <c r="B14" i="5" s="1"/>
  <c r="B157" i="28"/>
  <c r="B15" i="5" s="1"/>
  <c r="B154" i="28"/>
  <c r="B12" i="5" s="1"/>
  <c r="B155" i="28"/>
  <c r="B13" i="5" s="1"/>
  <c r="B158" i="28"/>
  <c r="B16" i="5" s="1"/>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D38" i="10" s="1"/>
  <c r="C34" i="28"/>
  <c r="C32" i="28"/>
  <c r="D35" i="2"/>
  <c r="K44" i="27"/>
  <c r="K48" i="27" s="1"/>
  <c r="K54" i="27" s="1"/>
  <c r="J8" i="27"/>
  <c r="I23" i="27"/>
  <c r="I42" i="27" s="1"/>
  <c r="G44" i="27"/>
  <c r="G48" i="27" s="1"/>
  <c r="H47" i="27" s="1"/>
  <c r="H44" i="27"/>
  <c r="H48" i="27" s="1"/>
  <c r="I47" i="27" s="1"/>
  <c r="E26" i="28"/>
  <c r="F27" i="28"/>
  <c r="M55" i="17"/>
  <c r="E5" i="17"/>
  <c r="F6" i="17"/>
  <c r="K69" i="2" l="1"/>
  <c r="G49" i="1"/>
  <c r="I36" i="2"/>
  <c r="I49" i="1"/>
  <c r="K107" i="17"/>
  <c r="D107" i="17"/>
  <c r="G107" i="17"/>
  <c r="F107" i="17"/>
  <c r="E107" i="17"/>
  <c r="J107" i="17"/>
  <c r="I107" i="17"/>
  <c r="K70" i="2"/>
  <c r="G36" i="2"/>
  <c r="J36" i="2"/>
  <c r="F54" i="27"/>
  <c r="D54" i="27"/>
  <c r="K36" i="2"/>
  <c r="H54" i="27"/>
  <c r="D45" i="10"/>
  <c r="D49" i="10" s="1"/>
  <c r="D46" i="10"/>
  <c r="D65" i="1" s="1"/>
  <c r="J70" i="2"/>
  <c r="F64" i="2"/>
  <c r="F49" i="1"/>
  <c r="E49" i="1"/>
  <c r="H70" i="2"/>
  <c r="J64" i="2"/>
  <c r="E70" i="2"/>
  <c r="G71" i="2"/>
  <c r="H49" i="1"/>
  <c r="D79" i="2"/>
  <c r="D50" i="1" s="1"/>
  <c r="D70" i="2"/>
  <c r="D49" i="1"/>
  <c r="M35" i="2"/>
  <c r="D42" i="5"/>
  <c r="D41" i="5"/>
  <c r="B49" i="5"/>
  <c r="B82" i="5"/>
  <c r="B39" i="5"/>
  <c r="B51" i="1" s="1"/>
  <c r="B94" i="5"/>
  <c r="B65" i="5"/>
  <c r="B43" i="5"/>
  <c r="B55" i="1" s="1"/>
  <c r="M63" i="2"/>
  <c r="H69" i="2"/>
  <c r="H36" i="2"/>
  <c r="E78" i="2"/>
  <c r="E77" i="2"/>
  <c r="E5" i="2"/>
  <c r="F6" i="2"/>
  <c r="E33" i="28"/>
  <c r="D36" i="28"/>
  <c r="E39" i="17" s="1"/>
  <c r="D35" i="28"/>
  <c r="E34" i="10" s="1"/>
  <c r="E38" i="10" s="1"/>
  <c r="E56" i="27" s="1"/>
  <c r="D34" i="28"/>
  <c r="D32" i="28"/>
  <c r="F6" i="11"/>
  <c r="E5" i="11"/>
  <c r="F6" i="4"/>
  <c r="E5" i="4"/>
  <c r="B97" i="5"/>
  <c r="B44" i="5"/>
  <c r="B69" i="5"/>
  <c r="B91" i="5"/>
  <c r="B61" i="5"/>
  <c r="B42" i="5"/>
  <c r="B54" i="1" s="1"/>
  <c r="M62" i="2"/>
  <c r="D64" i="2"/>
  <c r="D69" i="2"/>
  <c r="D36" i="2"/>
  <c r="M34" i="2"/>
  <c r="F6" i="29"/>
  <c r="F5" i="29" s="1"/>
  <c r="E22" i="29"/>
  <c r="H64" i="2"/>
  <c r="J69" i="2"/>
  <c r="J71" i="2" s="1"/>
  <c r="D35" i="10"/>
  <c r="D39" i="29"/>
  <c r="D41" i="17"/>
  <c r="D56" i="17" s="1"/>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5" i="10" s="1"/>
  <c r="F6" i="1"/>
  <c r="E5" i="1"/>
  <c r="I71" i="2"/>
  <c r="G6" i="15"/>
  <c r="F5" i="15"/>
  <c r="F50" i="15" s="1"/>
  <c r="E5" i="27"/>
  <c r="F6" i="27"/>
  <c r="J49" i="1"/>
  <c r="D45" i="5"/>
  <c r="D44" i="5"/>
  <c r="D39" i="5"/>
  <c r="F6" i="3"/>
  <c r="E5" i="3"/>
  <c r="B85" i="5"/>
  <c r="B40" i="5"/>
  <c r="B52" i="1" s="1"/>
  <c r="B53" i="5"/>
  <c r="B100" i="5"/>
  <c r="B73" i="5"/>
  <c r="B45" i="5"/>
  <c r="E36" i="2"/>
  <c r="E69" i="2"/>
  <c r="D56" i="27"/>
  <c r="F69" i="2"/>
  <c r="F71" i="2" s="1"/>
  <c r="F36" i="2"/>
  <c r="F6" i="20"/>
  <c r="E5" i="20"/>
  <c r="I44" i="27"/>
  <c r="I48" i="27" s="1"/>
  <c r="J47" i="27" s="1"/>
  <c r="J54" i="27" s="1"/>
  <c r="G54" i="27"/>
  <c r="E27" i="28"/>
  <c r="G6" i="17"/>
  <c r="F5" i="17"/>
  <c r="D39" i="17" l="1"/>
  <c r="D65" i="17" s="1"/>
  <c r="K71" i="2"/>
  <c r="D53" i="10"/>
  <c r="D50" i="10"/>
  <c r="D48" i="1" s="1"/>
  <c r="H71" i="2"/>
  <c r="E71" i="2"/>
  <c r="M70" i="2"/>
  <c r="D54" i="10"/>
  <c r="D43" i="17"/>
  <c r="B33" i="1"/>
  <c r="B14" i="1"/>
  <c r="D46" i="5"/>
  <c r="D51" i="1"/>
  <c r="D13" i="1" s="1"/>
  <c r="G6" i="19"/>
  <c r="F5" i="19"/>
  <c r="G6" i="4"/>
  <c r="F5" i="4"/>
  <c r="E41" i="17"/>
  <c r="E56" i="17" s="1"/>
  <c r="E8" i="20"/>
  <c r="E57" i="1" s="1"/>
  <c r="E35" i="10"/>
  <c r="E14" i="19"/>
  <c r="E39" i="29"/>
  <c r="E86" i="2"/>
  <c r="E28" i="3"/>
  <c r="E56" i="1" s="1"/>
  <c r="E79" i="2"/>
  <c r="B36" i="1"/>
  <c r="B17" i="1"/>
  <c r="D53" i="1"/>
  <c r="D15" i="1" s="1"/>
  <c r="E45" i="10"/>
  <c r="E49" i="10" s="1"/>
  <c r="E80" i="17" s="1"/>
  <c r="E46" i="10"/>
  <c r="E63" i="27"/>
  <c r="D55" i="1"/>
  <c r="D17" i="1" s="1"/>
  <c r="D52" i="1"/>
  <c r="D14" i="1" s="1"/>
  <c r="M36" i="2"/>
  <c r="B35" i="1"/>
  <c r="B16" i="1"/>
  <c r="F77" i="2"/>
  <c r="G6" i="2"/>
  <c r="F78" i="2"/>
  <c r="F5" i="2"/>
  <c r="D55" i="27"/>
  <c r="D57" i="27"/>
  <c r="G6" i="20"/>
  <c r="F5" i="20"/>
  <c r="E57" i="27"/>
  <c r="E55" i="27"/>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86" i="29"/>
  <c r="D88" i="29"/>
  <c r="D23" i="29"/>
  <c r="D34" i="29" s="1"/>
  <c r="D37" i="29" s="1"/>
  <c r="D49" i="29" s="1"/>
  <c r="D51" i="29" s="1"/>
  <c r="D71" i="2"/>
  <c r="M69" i="2"/>
  <c r="F5" i="11"/>
  <c r="G6" i="11"/>
  <c r="E65" i="17"/>
  <c r="G6" i="3"/>
  <c r="F5" i="3"/>
  <c r="G6" i="27"/>
  <c r="F5" i="27"/>
  <c r="G6" i="10"/>
  <c r="G5" i="10" s="1"/>
  <c r="F32" i="10"/>
  <c r="F40" i="10"/>
  <c r="F43" i="10" s="1"/>
  <c r="F47" i="10" s="1"/>
  <c r="E46" i="5"/>
  <c r="E51" i="1"/>
  <c r="G6" i="29"/>
  <c r="G5" i="29" s="1"/>
  <c r="F22" i="29"/>
  <c r="M64" i="2"/>
  <c r="E36" i="28"/>
  <c r="E35" i="28"/>
  <c r="F34" i="10" s="1"/>
  <c r="F38" i="10" s="1"/>
  <c r="F56" i="27" s="1"/>
  <c r="E34" i="28"/>
  <c r="E32" i="28"/>
  <c r="F33" i="28"/>
  <c r="B32" i="1"/>
  <c r="B13" i="1"/>
  <c r="D54" i="1"/>
  <c r="D16" i="1" s="1"/>
  <c r="N49" i="1"/>
  <c r="D11" i="1"/>
  <c r="D12" i="1"/>
  <c r="D18" i="1"/>
  <c r="D19" i="1"/>
  <c r="D51" i="10"/>
  <c r="D80" i="17"/>
  <c r="D98" i="17" s="1"/>
  <c r="D57" i="10"/>
  <c r="I54" i="27"/>
  <c r="G5" i="17"/>
  <c r="H6" i="17"/>
  <c r="H5" i="17" s="1"/>
  <c r="D58" i="10" l="1"/>
  <c r="E43" i="17"/>
  <c r="E86" i="17" s="1"/>
  <c r="E98" i="17"/>
  <c r="D55" i="10"/>
  <c r="M71" i="2"/>
  <c r="E23" i="29"/>
  <c r="E34" i="29" s="1"/>
  <c r="F41" i="17"/>
  <c r="F56" i="17" s="1"/>
  <c r="F14" i="19"/>
  <c r="F35" i="10"/>
  <c r="F8" i="20"/>
  <c r="F57" i="1" s="1"/>
  <c r="F86" i="2"/>
  <c r="F28" i="3"/>
  <c r="F56" i="1" s="1"/>
  <c r="F39" i="29"/>
  <c r="F55" i="27"/>
  <c r="F57" i="27"/>
  <c r="H6" i="3"/>
  <c r="G5" i="3"/>
  <c r="D120" i="2"/>
  <c r="I6" i="15"/>
  <c r="H5" i="15"/>
  <c r="E54" i="10"/>
  <c r="E50" i="10"/>
  <c r="E65" i="1"/>
  <c r="H6" i="19"/>
  <c r="G5" i="19"/>
  <c r="F63" i="27"/>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G39" i="17" s="1"/>
  <c r="G65" i="17" s="1"/>
  <c r="F35" i="28"/>
  <c r="G34" i="10" s="1"/>
  <c r="G38" i="10" s="1"/>
  <c r="G56" i="27" s="1"/>
  <c r="F34" i="28"/>
  <c r="F32" i="28"/>
  <c r="G22" i="29"/>
  <c r="H6" i="29"/>
  <c r="H5" i="29" s="1"/>
  <c r="H6" i="27"/>
  <c r="G5" i="27"/>
  <c r="H6" i="11"/>
  <c r="G5" i="11"/>
  <c r="D41" i="29"/>
  <c r="D79" i="29" s="1"/>
  <c r="D134" i="2"/>
  <c r="H6" i="20"/>
  <c r="G5" i="20"/>
  <c r="G77" i="2"/>
  <c r="G78" i="2"/>
  <c r="H6" i="2"/>
  <c r="G5" i="2"/>
  <c r="E102" i="2"/>
  <c r="E119" i="2"/>
  <c r="E105" i="2"/>
  <c r="E90" i="2"/>
  <c r="E101" i="2"/>
  <c r="E128" i="2"/>
  <c r="E131" i="2"/>
  <c r="E100" i="2"/>
  <c r="E130" i="2"/>
  <c r="E132" i="2"/>
  <c r="E103" i="2"/>
  <c r="E91" i="2"/>
  <c r="E92" i="2" s="1"/>
  <c r="E118" i="2"/>
  <c r="E104" i="2"/>
  <c r="E133" i="2"/>
  <c r="E129" i="2"/>
  <c r="H6" i="10"/>
  <c r="H5" i="10" s="1"/>
  <c r="H32" i="10" s="1"/>
  <c r="G40" i="10"/>
  <c r="G43" i="10" s="1"/>
  <c r="G47" i="10" s="1"/>
  <c r="G32" i="10"/>
  <c r="D89" i="29"/>
  <c r="D81" i="15"/>
  <c r="D82" i="15"/>
  <c r="F39" i="5"/>
  <c r="F44" i="5"/>
  <c r="H6" i="1"/>
  <c r="G5" i="1"/>
  <c r="E47" i="29"/>
  <c r="E59" i="27"/>
  <c r="D61" i="27"/>
  <c r="D64" i="27" s="1"/>
  <c r="D59" i="27"/>
  <c r="D62" i="27"/>
  <c r="D66" i="1" s="1"/>
  <c r="D47" i="29"/>
  <c r="E61" i="27"/>
  <c r="E64" i="27" s="1"/>
  <c r="E62" i="27"/>
  <c r="E66" i="1" s="1"/>
  <c r="E32" i="1" s="1"/>
  <c r="E50" i="1"/>
  <c r="E86" i="29"/>
  <c r="E88" i="29"/>
  <c r="D59" i="10"/>
  <c r="D86" i="17"/>
  <c r="D10" i="1"/>
  <c r="D20" i="1" s="1"/>
  <c r="D58" i="1"/>
  <c r="I6" i="17"/>
  <c r="F39" i="17" l="1"/>
  <c r="F65" i="17" s="1"/>
  <c r="E37" i="29"/>
  <c r="E49" i="29" s="1"/>
  <c r="E55" i="10"/>
  <c r="E120" i="2"/>
  <c r="E125" i="2" s="1"/>
  <c r="G79" i="2"/>
  <c r="G50" i="1" s="1"/>
  <c r="G55" i="27"/>
  <c r="G57" i="27"/>
  <c r="F46" i="5"/>
  <c r="F51" i="1"/>
  <c r="E63" i="17"/>
  <c r="E108" i="17" s="1"/>
  <c r="E109" i="17" s="1"/>
  <c r="E110" i="17" s="1"/>
  <c r="E100" i="17" s="1"/>
  <c r="E102" i="17" s="1"/>
  <c r="E66" i="27"/>
  <c r="H5" i="1"/>
  <c r="I6" i="1"/>
  <c r="I6" i="10"/>
  <c r="I5" i="10" s="1"/>
  <c r="H40" i="10"/>
  <c r="H43" i="10" s="1"/>
  <c r="H47" i="10" s="1"/>
  <c r="E97" i="2"/>
  <c r="E96" i="2"/>
  <c r="E106" i="2"/>
  <c r="E81" i="15"/>
  <c r="E82" i="15"/>
  <c r="G41" i="17"/>
  <c r="G14" i="19"/>
  <c r="G28" i="3"/>
  <c r="G56" i="1" s="1"/>
  <c r="G86" i="2"/>
  <c r="G35" i="10"/>
  <c r="G8" i="20"/>
  <c r="G57" i="1" s="1"/>
  <c r="G39" i="29"/>
  <c r="H5" i="4"/>
  <c r="I6" i="4"/>
  <c r="D109" i="2"/>
  <c r="D108" i="2"/>
  <c r="F57" i="10"/>
  <c r="F80" i="17"/>
  <c r="F98" i="17" s="1"/>
  <c r="E15" i="1"/>
  <c r="E17" i="1"/>
  <c r="E11" i="1"/>
  <c r="E16" i="1"/>
  <c r="E18" i="1"/>
  <c r="E14" i="1"/>
  <c r="E19" i="1"/>
  <c r="J6" i="15"/>
  <c r="I5" i="15"/>
  <c r="F86" i="29"/>
  <c r="F53" i="10"/>
  <c r="E13" i="1"/>
  <c r="E31" i="1"/>
  <c r="E12" i="1"/>
  <c r="D34" i="1"/>
  <c r="D31" i="1"/>
  <c r="D30" i="1"/>
  <c r="D33" i="1"/>
  <c r="D38" i="1"/>
  <c r="D29" i="1"/>
  <c r="D36" i="1"/>
  <c r="D32" i="1"/>
  <c r="D37" i="1"/>
  <c r="D35" i="1"/>
  <c r="I6" i="27"/>
  <c r="H5" i="27"/>
  <c r="G40" i="5"/>
  <c r="G46" i="5" s="1"/>
  <c r="D97" i="2"/>
  <c r="D96" i="2"/>
  <c r="F62" i="27"/>
  <c r="F66" i="1" s="1"/>
  <c r="F31" i="1" s="1"/>
  <c r="F61" i="27"/>
  <c r="F64" i="27" s="1"/>
  <c r="E51" i="10"/>
  <c r="E48" i="1"/>
  <c r="E58" i="10"/>
  <c r="E59" i="10" s="1"/>
  <c r="H5" i="3"/>
  <c r="I6" i="3"/>
  <c r="H5" i="19"/>
  <c r="I6" i="19"/>
  <c r="F59" i="27"/>
  <c r="F47" i="29"/>
  <c r="F103" i="2"/>
  <c r="F128" i="2"/>
  <c r="F133" i="2"/>
  <c r="F102" i="2"/>
  <c r="F129" i="2"/>
  <c r="F119" i="2"/>
  <c r="F101" i="2"/>
  <c r="F118" i="2"/>
  <c r="F105" i="2"/>
  <c r="F90" i="2"/>
  <c r="F100" i="2"/>
  <c r="F130" i="2"/>
  <c r="F132" i="2"/>
  <c r="F131" i="2"/>
  <c r="F91" i="2"/>
  <c r="F104" i="2"/>
  <c r="E134" i="2"/>
  <c r="D136" i="2"/>
  <c r="D137" i="2"/>
  <c r="I6" i="11"/>
  <c r="H5" i="11"/>
  <c r="I6" i="29"/>
  <c r="I5" i="29" s="1"/>
  <c r="H22" i="29"/>
  <c r="G51" i="1"/>
  <c r="E89" i="29"/>
  <c r="E36" i="1"/>
  <c r="E33" i="1"/>
  <c r="E35" i="1"/>
  <c r="E30" i="1"/>
  <c r="E34" i="1"/>
  <c r="F23" i="29"/>
  <c r="F34" i="29" s="1"/>
  <c r="F37" i="29" s="1"/>
  <c r="D63" i="17"/>
  <c r="D108" i="17" s="1"/>
  <c r="D109" i="17" s="1"/>
  <c r="D110" i="17" s="1"/>
  <c r="D100" i="17" s="1"/>
  <c r="D66" i="27"/>
  <c r="G45" i="10"/>
  <c r="G49" i="10" s="1"/>
  <c r="G63" i="27"/>
  <c r="G46" i="10"/>
  <c r="E38" i="1"/>
  <c r="H78" i="2"/>
  <c r="I6" i="2"/>
  <c r="H77" i="2"/>
  <c r="H5" i="2"/>
  <c r="H5" i="20"/>
  <c r="I6" i="20"/>
  <c r="H33" i="28"/>
  <c r="G32" i="28"/>
  <c r="G35" i="28"/>
  <c r="H34" i="10" s="1"/>
  <c r="H38" i="10" s="1"/>
  <c r="H56" i="27" s="1"/>
  <c r="G34" i="28"/>
  <c r="G36" i="28"/>
  <c r="H39" i="17" s="1"/>
  <c r="E37" i="1"/>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F54" i="10"/>
  <c r="F65" i="1"/>
  <c r="F12" i="1" s="1"/>
  <c r="F50" i="10"/>
  <c r="F48" i="1" s="1"/>
  <c r="H50" i="15"/>
  <c r="D125" i="2"/>
  <c r="D124" i="2"/>
  <c r="D53" i="29"/>
  <c r="D81" i="29" s="1"/>
  <c r="J6" i="17"/>
  <c r="I5" i="17"/>
  <c r="F43" i="17" l="1"/>
  <c r="D39" i="1"/>
  <c r="D102" i="17"/>
  <c r="E41" i="29"/>
  <c r="E79" i="29" s="1"/>
  <c r="E124" i="2"/>
  <c r="G23" i="29"/>
  <c r="G34" i="29" s="1"/>
  <c r="G37" i="29" s="1"/>
  <c r="D140" i="2"/>
  <c r="D141" i="2"/>
  <c r="F92" i="2"/>
  <c r="F97" i="2" s="1"/>
  <c r="F37" i="1"/>
  <c r="D112" i="2"/>
  <c r="F38" i="1"/>
  <c r="F106" i="2"/>
  <c r="F109" i="2" s="1"/>
  <c r="D113" i="2"/>
  <c r="H57" i="27"/>
  <c r="H55" i="27"/>
  <c r="H65" i="17"/>
  <c r="I33" i="28"/>
  <c r="H32" i="28"/>
  <c r="H35" i="28"/>
  <c r="I34" i="10" s="1"/>
  <c r="I38" i="10" s="1"/>
  <c r="I56" i="27" s="1"/>
  <c r="H36" i="28"/>
  <c r="I39" i="17" s="1"/>
  <c r="H34" i="28"/>
  <c r="H79" i="2"/>
  <c r="G80" i="17"/>
  <c r="F81" i="15"/>
  <c r="F82" i="15"/>
  <c r="F120" i="2"/>
  <c r="F134" i="2"/>
  <c r="J6" i="19"/>
  <c r="I5" i="19"/>
  <c r="F66" i="27"/>
  <c r="F63" i="17"/>
  <c r="F108" i="17" s="1"/>
  <c r="F109" i="17" s="1"/>
  <c r="F110" i="17" s="1"/>
  <c r="F100" i="17" s="1"/>
  <c r="F102" i="17" s="1"/>
  <c r="G52" i="1"/>
  <c r="F51" i="10"/>
  <c r="G133" i="2"/>
  <c r="G102" i="2"/>
  <c r="G129" i="2"/>
  <c r="G91" i="2"/>
  <c r="G90" i="2"/>
  <c r="G100" i="2"/>
  <c r="G104" i="2"/>
  <c r="G105" i="2"/>
  <c r="G101" i="2"/>
  <c r="G128" i="2"/>
  <c r="G130" i="2"/>
  <c r="G132" i="2"/>
  <c r="G131" i="2"/>
  <c r="G119" i="2"/>
  <c r="G118" i="2"/>
  <c r="G103" i="2"/>
  <c r="E109" i="2"/>
  <c r="E113" i="2" s="1"/>
  <c r="E108" i="2"/>
  <c r="E112" i="2" s="1"/>
  <c r="H63" i="27"/>
  <c r="H46" i="10"/>
  <c r="H45" i="10"/>
  <c r="H49" i="10" s="1"/>
  <c r="E70" i="17"/>
  <c r="E66" i="17"/>
  <c r="G47" i="29"/>
  <c r="G59" i="27"/>
  <c r="F17" i="1"/>
  <c r="F15" i="1"/>
  <c r="F11" i="1"/>
  <c r="F14" i="1"/>
  <c r="F16" i="1"/>
  <c r="H44" i="5"/>
  <c r="L49" i="17"/>
  <c r="H54" i="1"/>
  <c r="H51" i="1"/>
  <c r="H8" i="20"/>
  <c r="H57" i="1" s="1"/>
  <c r="H28" i="3"/>
  <c r="H56" i="1" s="1"/>
  <c r="H14" i="19"/>
  <c r="H41" i="17"/>
  <c r="H56" i="17" s="1"/>
  <c r="H35" i="10"/>
  <c r="H39" i="29"/>
  <c r="H86" i="2"/>
  <c r="J6" i="20"/>
  <c r="I5" i="20"/>
  <c r="L55" i="17"/>
  <c r="F18" i="1"/>
  <c r="F30" i="1"/>
  <c r="F34" i="1"/>
  <c r="F35" i="1"/>
  <c r="F36" i="1"/>
  <c r="F33" i="1"/>
  <c r="F86" i="17"/>
  <c r="G88" i="29"/>
  <c r="G86" i="29"/>
  <c r="I32" i="10"/>
  <c r="J6" i="10"/>
  <c r="J5" i="10" s="1"/>
  <c r="I40" i="10"/>
  <c r="I43" i="10" s="1"/>
  <c r="I47" i="10" s="1"/>
  <c r="J6" i="1"/>
  <c r="I5" i="1"/>
  <c r="F19" i="1"/>
  <c r="I96" i="5"/>
  <c r="I90" i="5"/>
  <c r="I84" i="5"/>
  <c r="I81" i="5"/>
  <c r="I70" i="5"/>
  <c r="I71" i="5" s="1"/>
  <c r="I44" i="5" s="1"/>
  <c r="I54" i="5"/>
  <c r="I55" i="5" s="1"/>
  <c r="I40" i="5" s="1"/>
  <c r="I52" i="1" s="1"/>
  <c r="J6" i="5"/>
  <c r="I87" i="5"/>
  <c r="I93" i="5"/>
  <c r="I74" i="5"/>
  <c r="I75" i="5" s="1"/>
  <c r="I45" i="5" s="1"/>
  <c r="I62" i="5"/>
  <c r="I63" i="5" s="1"/>
  <c r="I42" i="5" s="1"/>
  <c r="I54" i="1" s="1"/>
  <c r="I99" i="5"/>
  <c r="I66" i="5"/>
  <c r="I67" i="5" s="1"/>
  <c r="I43" i="5" s="1"/>
  <c r="I55" i="1" s="1"/>
  <c r="I50" i="5"/>
  <c r="I51" i="5" s="1"/>
  <c r="I39" i="5" s="1"/>
  <c r="I58" i="5"/>
  <c r="I59" i="5" s="1"/>
  <c r="I41" i="5" s="1"/>
  <c r="I53" i="1" s="1"/>
  <c r="I5" i="5"/>
  <c r="H45" i="5"/>
  <c r="G65" i="1"/>
  <c r="G13" i="1" s="1"/>
  <c r="G50" i="10"/>
  <c r="G48" i="1" s="1"/>
  <c r="D66" i="17"/>
  <c r="D67" i="17" s="1"/>
  <c r="D69" i="17" s="1"/>
  <c r="D70" i="17"/>
  <c r="J6" i="11"/>
  <c r="I5" i="11"/>
  <c r="E58" i="1"/>
  <c r="E29" i="1"/>
  <c r="E39" i="1" s="1"/>
  <c r="E10" i="1"/>
  <c r="E20" i="1" s="1"/>
  <c r="I5" i="27"/>
  <c r="J6" i="27"/>
  <c r="F58" i="10"/>
  <c r="F59" i="10" s="1"/>
  <c r="I50" i="15"/>
  <c r="F32" i="1"/>
  <c r="F13" i="1"/>
  <c r="F29" i="1"/>
  <c r="F10" i="1"/>
  <c r="F58" i="1"/>
  <c r="H41" i="5"/>
  <c r="I78" i="2"/>
  <c r="I77" i="2"/>
  <c r="I5" i="2"/>
  <c r="J6" i="2"/>
  <c r="G61" i="27"/>
  <c r="G64" i="27" s="1"/>
  <c r="G62" i="27"/>
  <c r="G66" i="1" s="1"/>
  <c r="F41" i="29"/>
  <c r="F79" i="29" s="1"/>
  <c r="F49" i="29"/>
  <c r="J6" i="29"/>
  <c r="J5" i="29" s="1"/>
  <c r="I22" i="29"/>
  <c r="E137" i="2"/>
  <c r="E141" i="2" s="1"/>
  <c r="E136" i="2"/>
  <c r="J6" i="3"/>
  <c r="I5" i="3"/>
  <c r="L46" i="17"/>
  <c r="F55" i="10"/>
  <c r="K6" i="15"/>
  <c r="K5" i="15" s="1"/>
  <c r="J5" i="15"/>
  <c r="J6" i="4"/>
  <c r="I5" i="4"/>
  <c r="G54" i="10"/>
  <c r="G53" i="10"/>
  <c r="G57" i="10"/>
  <c r="G56" i="17"/>
  <c r="G43" i="17"/>
  <c r="D61" i="1"/>
  <c r="D83" i="29"/>
  <c r="D62" i="1" s="1"/>
  <c r="K6" i="17"/>
  <c r="L50" i="17" s="1"/>
  <c r="J5" i="17"/>
  <c r="G98" i="17" l="1"/>
  <c r="E140" i="2"/>
  <c r="E142" i="2" s="1"/>
  <c r="F39" i="1"/>
  <c r="F20" i="1"/>
  <c r="H23" i="29"/>
  <c r="H34" i="29" s="1"/>
  <c r="H37" i="29" s="1"/>
  <c r="H41" i="29" s="1"/>
  <c r="H79" i="29" s="1"/>
  <c r="D147" i="2"/>
  <c r="L52" i="17"/>
  <c r="L51" i="17"/>
  <c r="L48" i="17"/>
  <c r="L53" i="17"/>
  <c r="G58" i="10"/>
  <c r="G59" i="10" s="1"/>
  <c r="G49" i="29"/>
  <c r="G51" i="29" s="1"/>
  <c r="G53" i="29" s="1"/>
  <c r="G81" i="29" s="1"/>
  <c r="D142" i="2"/>
  <c r="F96" i="2"/>
  <c r="D148" i="2"/>
  <c r="D88" i="17"/>
  <c r="D59" i="1" s="1"/>
  <c r="G92" i="2"/>
  <c r="G97" i="2" s="1"/>
  <c r="F113" i="2"/>
  <c r="F108" i="2"/>
  <c r="D114" i="2"/>
  <c r="G55" i="10"/>
  <c r="J50" i="15"/>
  <c r="K6" i="3"/>
  <c r="K5" i="3" s="1"/>
  <c r="J5" i="3"/>
  <c r="H53" i="1"/>
  <c r="I51" i="1"/>
  <c r="I46" i="5"/>
  <c r="I46" i="10"/>
  <c r="I63" i="27"/>
  <c r="I45" i="10"/>
  <c r="I49" i="10" s="1"/>
  <c r="G18" i="1"/>
  <c r="H53" i="10"/>
  <c r="H57" i="10"/>
  <c r="H80" i="17"/>
  <c r="H98" i="17" s="1"/>
  <c r="E148" i="2"/>
  <c r="G81" i="15"/>
  <c r="G82" i="15"/>
  <c r="G14" i="1"/>
  <c r="G33" i="1"/>
  <c r="K6" i="19"/>
  <c r="K5" i="19" s="1"/>
  <c r="J5" i="19"/>
  <c r="H50" i="1"/>
  <c r="I14" i="19"/>
  <c r="I28" i="3"/>
  <c r="I56" i="1" s="1"/>
  <c r="I39" i="29"/>
  <c r="I86" i="2"/>
  <c r="I35" i="10"/>
  <c r="I8" i="20"/>
  <c r="I57" i="1" s="1"/>
  <c r="I41" i="17"/>
  <c r="I56" i="17" s="1"/>
  <c r="I32" i="28"/>
  <c r="J33" i="28"/>
  <c r="I35" i="28"/>
  <c r="J34" i="10" s="1"/>
  <c r="J38" i="10" s="1"/>
  <c r="J56" i="27" s="1"/>
  <c r="I36" i="28"/>
  <c r="J39" i="17" s="1"/>
  <c r="I34" i="28"/>
  <c r="J40" i="10"/>
  <c r="J43" i="10" s="1"/>
  <c r="J47" i="10" s="1"/>
  <c r="K6" i="10"/>
  <c r="K5" i="10" s="1"/>
  <c r="J32" i="10"/>
  <c r="G89" i="29"/>
  <c r="K6" i="20"/>
  <c r="K5" i="20" s="1"/>
  <c r="J5" i="20"/>
  <c r="H54" i="10"/>
  <c r="H50" i="10"/>
  <c r="H65" i="1"/>
  <c r="H19" i="1" s="1"/>
  <c r="F70" i="17"/>
  <c r="F66" i="17"/>
  <c r="F136" i="2"/>
  <c r="F137" i="2"/>
  <c r="I65" i="17"/>
  <c r="G38" i="1"/>
  <c r="G37" i="1"/>
  <c r="G30" i="1"/>
  <c r="G35" i="1"/>
  <c r="G36" i="1"/>
  <c r="G32" i="1"/>
  <c r="G31" i="1"/>
  <c r="G34" i="1"/>
  <c r="K6" i="29"/>
  <c r="K5" i="29" s="1"/>
  <c r="J22" i="29"/>
  <c r="G66" i="27"/>
  <c r="G63" i="17"/>
  <c r="I79" i="2"/>
  <c r="I55" i="27"/>
  <c r="I57" i="27"/>
  <c r="G58" i="1"/>
  <c r="G10" i="1"/>
  <c r="G29" i="1"/>
  <c r="H101" i="2"/>
  <c r="H130" i="2"/>
  <c r="H132" i="2"/>
  <c r="H131" i="2"/>
  <c r="H100" i="2"/>
  <c r="H118" i="2"/>
  <c r="H104" i="2"/>
  <c r="H103" i="2"/>
  <c r="H91" i="2"/>
  <c r="H102" i="2"/>
  <c r="H129" i="2"/>
  <c r="H128" i="2"/>
  <c r="H105" i="2"/>
  <c r="H90" i="2"/>
  <c r="H119" i="2"/>
  <c r="H133" i="2"/>
  <c r="H46" i="5"/>
  <c r="E51" i="29"/>
  <c r="E53" i="29" s="1"/>
  <c r="E81" i="29" s="1"/>
  <c r="E67" i="17"/>
  <c r="E69" i="17" s="1"/>
  <c r="E88" i="17" s="1"/>
  <c r="E59" i="1" s="1"/>
  <c r="H61" i="27"/>
  <c r="H64" i="27" s="1"/>
  <c r="H62" i="27"/>
  <c r="H66" i="1" s="1"/>
  <c r="H37" i="1" s="1"/>
  <c r="F125" i="2"/>
  <c r="F124" i="2"/>
  <c r="G51" i="10"/>
  <c r="H43" i="17"/>
  <c r="H47" i="29"/>
  <c r="H59" i="27"/>
  <c r="K50" i="15"/>
  <c r="K5" i="17"/>
  <c r="L47" i="17"/>
  <c r="K6" i="4"/>
  <c r="K5" i="4" s="1"/>
  <c r="J5" i="4"/>
  <c r="J77" i="2"/>
  <c r="J78" i="2"/>
  <c r="K6" i="2"/>
  <c r="L56" i="2" s="1"/>
  <c r="J5" i="2"/>
  <c r="L31" i="2"/>
  <c r="L18" i="2"/>
  <c r="L19" i="2"/>
  <c r="L47" i="2"/>
  <c r="L13" i="2"/>
  <c r="L12" i="2"/>
  <c r="L51" i="2"/>
  <c r="L34"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J50" i="5"/>
  <c r="J51" i="5" s="1"/>
  <c r="J39" i="5" s="1"/>
  <c r="J62" i="5"/>
  <c r="J63" i="5" s="1"/>
  <c r="J42" i="5" s="1"/>
  <c r="K6" i="5"/>
  <c r="L16" i="5" s="1"/>
  <c r="L14" i="5"/>
  <c r="L57" i="5"/>
  <c r="K6" i="1"/>
  <c r="J5" i="1"/>
  <c r="E147" i="2"/>
  <c r="E114" i="2"/>
  <c r="L41" i="2"/>
  <c r="L46" i="2"/>
  <c r="H88" i="29"/>
  <c r="H86" i="29"/>
  <c r="G120" i="2"/>
  <c r="G134" i="2"/>
  <c r="G106" i="2"/>
  <c r="G86" i="17"/>
  <c r="L26" i="2"/>
  <c r="L53" i="2"/>
  <c r="D22" i="1"/>
  <c r="D41" i="1"/>
  <c r="H49" i="29" l="1"/>
  <c r="H51" i="29" s="1"/>
  <c r="H53" i="29" s="1"/>
  <c r="H81" i="29" s="1"/>
  <c r="H83" i="29" s="1"/>
  <c r="G20" i="1"/>
  <c r="G39" i="1"/>
  <c r="G66" i="17"/>
  <c r="G67" i="17" s="1"/>
  <c r="G69" i="17" s="1"/>
  <c r="G108" i="17"/>
  <c r="G109" i="17" s="1"/>
  <c r="G110" i="17" s="1"/>
  <c r="G100" i="17" s="1"/>
  <c r="D149" i="2"/>
  <c r="L23" i="2"/>
  <c r="L11" i="5"/>
  <c r="L36" i="2"/>
  <c r="L17" i="5"/>
  <c r="L40" i="2"/>
  <c r="L42" i="2" s="1"/>
  <c r="L30" i="2"/>
  <c r="L24" i="2"/>
  <c r="L50" i="2"/>
  <c r="L69" i="5"/>
  <c r="L62" i="2"/>
  <c r="L52" i="2"/>
  <c r="L65" i="5"/>
  <c r="L59" i="2"/>
  <c r="L73" i="5"/>
  <c r="L35" i="2"/>
  <c r="L64" i="2"/>
  <c r="L61" i="5"/>
  <c r="L13" i="5"/>
  <c r="L55" i="2"/>
  <c r="L53" i="5"/>
  <c r="L71" i="2"/>
  <c r="L54" i="2"/>
  <c r="L15" i="5"/>
  <c r="L28" i="2"/>
  <c r="L70" i="2"/>
  <c r="F112" i="2"/>
  <c r="F114" i="2" s="1"/>
  <c r="I43" i="17"/>
  <c r="G41" i="29"/>
  <c r="G79" i="29" s="1"/>
  <c r="G83" i="29" s="1"/>
  <c r="G62" i="1" s="1"/>
  <c r="D90" i="17"/>
  <c r="D60" i="1" s="1"/>
  <c r="D40" i="1" s="1"/>
  <c r="D42" i="1" s="1"/>
  <c r="G96" i="2"/>
  <c r="H18" i="1"/>
  <c r="H55" i="10"/>
  <c r="J79" i="2"/>
  <c r="J50" i="1" s="1"/>
  <c r="J57" i="27"/>
  <c r="J55" i="27"/>
  <c r="K99" i="5"/>
  <c r="K93" i="5"/>
  <c r="K87" i="5"/>
  <c r="K81" i="5"/>
  <c r="K84" i="5"/>
  <c r="K74" i="5"/>
  <c r="K75" i="5" s="1"/>
  <c r="K45" i="5" s="1"/>
  <c r="K62" i="5"/>
  <c r="K63" i="5" s="1"/>
  <c r="L63" i="5" s="1"/>
  <c r="K90" i="5"/>
  <c r="K96" i="5"/>
  <c r="K70" i="5"/>
  <c r="K71" i="5" s="1"/>
  <c r="K54" i="5"/>
  <c r="K55" i="5" s="1"/>
  <c r="K40" i="5" s="1"/>
  <c r="K52" i="1" s="1"/>
  <c r="K58" i="5"/>
  <c r="K59" i="5" s="1"/>
  <c r="K41" i="5" s="1"/>
  <c r="K53" i="1" s="1"/>
  <c r="K5" i="5"/>
  <c r="K66" i="5"/>
  <c r="K67" i="5" s="1"/>
  <c r="L67" i="5" s="1"/>
  <c r="K50" i="5"/>
  <c r="K51" i="5" s="1"/>
  <c r="L51" i="5" s="1"/>
  <c r="L49" i="5"/>
  <c r="L75" i="5"/>
  <c r="L12" i="5"/>
  <c r="J44" i="5"/>
  <c r="L71" i="5"/>
  <c r="J41" i="5"/>
  <c r="L59" i="5"/>
  <c r="F140" i="2"/>
  <c r="H66" i="27"/>
  <c r="H63" i="17"/>
  <c r="H108" i="17" s="1"/>
  <c r="H109" i="17" s="1"/>
  <c r="H110" i="17" s="1"/>
  <c r="H100" i="17" s="1"/>
  <c r="H102" i="17" s="1"/>
  <c r="H120" i="2"/>
  <c r="I47" i="29"/>
  <c r="I59" i="27"/>
  <c r="H51" i="10"/>
  <c r="H48" i="1"/>
  <c r="H13" i="1"/>
  <c r="K32" i="10"/>
  <c r="K40" i="10"/>
  <c r="K43" i="10" s="1"/>
  <c r="K47" i="10" s="1"/>
  <c r="J35" i="10"/>
  <c r="J8" i="20"/>
  <c r="J57" i="1" s="1"/>
  <c r="J41" i="17"/>
  <c r="J56" i="17" s="1"/>
  <c r="J39" i="29"/>
  <c r="J14" i="19"/>
  <c r="J28" i="3"/>
  <c r="J56" i="1" s="1"/>
  <c r="J86" i="2"/>
  <c r="I101" i="2"/>
  <c r="I119" i="2"/>
  <c r="I105" i="2"/>
  <c r="I132" i="2"/>
  <c r="I131" i="2"/>
  <c r="I100" i="2"/>
  <c r="I130" i="2"/>
  <c r="I128" i="2"/>
  <c r="I118" i="2"/>
  <c r="I102" i="2"/>
  <c r="I104" i="2"/>
  <c r="I103" i="2"/>
  <c r="I91" i="2"/>
  <c r="I90" i="2"/>
  <c r="I133" i="2"/>
  <c r="I129" i="2"/>
  <c r="H16" i="1"/>
  <c r="I65" i="1"/>
  <c r="I13" i="1" s="1"/>
  <c r="I50" i="10"/>
  <c r="I48" i="1" s="1"/>
  <c r="H15" i="1"/>
  <c r="H34" i="1"/>
  <c r="G137" i="2"/>
  <c r="G136" i="2"/>
  <c r="G124" i="2"/>
  <c r="G125" i="2"/>
  <c r="H89" i="29"/>
  <c r="J54" i="1"/>
  <c r="J55" i="1"/>
  <c r="K77" i="2"/>
  <c r="K78" i="2"/>
  <c r="K5" i="2"/>
  <c r="L77" i="2"/>
  <c r="L25" i="2"/>
  <c r="L69" i="2"/>
  <c r="E90" i="17"/>
  <c r="E60" i="1" s="1"/>
  <c r="H81" i="15"/>
  <c r="H82" i="15"/>
  <c r="F141" i="2"/>
  <c r="J46" i="10"/>
  <c r="J45" i="10"/>
  <c r="J49" i="10" s="1"/>
  <c r="J63" i="27"/>
  <c r="I23" i="29"/>
  <c r="I34" i="29" s="1"/>
  <c r="I37" i="29" s="1"/>
  <c r="J65" i="17"/>
  <c r="I88" i="29"/>
  <c r="I86" i="29"/>
  <c r="H86" i="17"/>
  <c r="H58" i="10"/>
  <c r="H59" i="10" s="1"/>
  <c r="E149" i="2"/>
  <c r="J51" i="1"/>
  <c r="J45" i="5"/>
  <c r="L45" i="5" s="1"/>
  <c r="K5" i="27"/>
  <c r="E83" i="29"/>
  <c r="E62" i="1" s="1"/>
  <c r="E61" i="1"/>
  <c r="H92" i="2"/>
  <c r="H106" i="2"/>
  <c r="I50" i="1"/>
  <c r="H12" i="1"/>
  <c r="H31" i="1"/>
  <c r="I80" i="17"/>
  <c r="I98" i="17" s="1"/>
  <c r="L98" i="17" s="1"/>
  <c r="G109" i="2"/>
  <c r="G108" i="2"/>
  <c r="K5" i="1"/>
  <c r="M49" i="1"/>
  <c r="J40" i="5"/>
  <c r="L14" i="2"/>
  <c r="H30" i="1"/>
  <c r="H36" i="1"/>
  <c r="H33" i="1"/>
  <c r="H134" i="2"/>
  <c r="K22" i="29"/>
  <c r="F67" i="17"/>
  <c r="H11" i="1"/>
  <c r="H14" i="1"/>
  <c r="H17" i="1"/>
  <c r="H32" i="1"/>
  <c r="J32" i="28"/>
  <c r="J35" i="28"/>
  <c r="K34" i="10" s="1"/>
  <c r="K38" i="10" s="1"/>
  <c r="K56" i="27" s="1"/>
  <c r="J36" i="28"/>
  <c r="J34" i="28"/>
  <c r="I54" i="10"/>
  <c r="I53" i="10"/>
  <c r="I57" i="10"/>
  <c r="H35" i="1"/>
  <c r="H38" i="1"/>
  <c r="I62" i="27"/>
  <c r="I66" i="1" s="1"/>
  <c r="I61" i="27"/>
  <c r="I64" i="27" s="1"/>
  <c r="G70" i="17"/>
  <c r="G61" i="1"/>
  <c r="D21" i="1"/>
  <c r="D23" i="1" s="1"/>
  <c r="H61" i="1" l="1"/>
  <c r="H22" i="1" s="1"/>
  <c r="D63" i="1"/>
  <c r="G88" i="17"/>
  <c r="G59" i="1" s="1"/>
  <c r="G21" i="1" s="1"/>
  <c r="F69" i="17"/>
  <c r="F88" i="17" s="1"/>
  <c r="F90" i="17" s="1"/>
  <c r="G102" i="17"/>
  <c r="M30" i="1"/>
  <c r="I86" i="17"/>
  <c r="L18" i="5"/>
  <c r="L55" i="5"/>
  <c r="I18" i="1"/>
  <c r="M55" i="5"/>
  <c r="H62" i="1"/>
  <c r="J46" i="5"/>
  <c r="I19" i="1"/>
  <c r="G141" i="2"/>
  <c r="L79" i="2"/>
  <c r="K79" i="2"/>
  <c r="K50" i="1" s="1"/>
  <c r="N50" i="1" s="1"/>
  <c r="I51" i="10"/>
  <c r="I58" i="10"/>
  <c r="I59" i="10" s="1"/>
  <c r="J23" i="29"/>
  <c r="J34" i="29" s="1"/>
  <c r="J37" i="29" s="1"/>
  <c r="J49" i="29" s="1"/>
  <c r="J51" i="29" s="1"/>
  <c r="J53" i="29" s="1"/>
  <c r="J81" i="29" s="1"/>
  <c r="M75" i="5"/>
  <c r="J43" i="17"/>
  <c r="G140" i="2"/>
  <c r="I55" i="10"/>
  <c r="M59" i="5"/>
  <c r="E40" i="1"/>
  <c r="I120" i="2"/>
  <c r="I125" i="2" s="1"/>
  <c r="K55" i="27"/>
  <c r="K57" i="27"/>
  <c r="I35" i="1"/>
  <c r="I36" i="1"/>
  <c r="I33" i="1"/>
  <c r="I30" i="1"/>
  <c r="I34" i="1"/>
  <c r="I32" i="1"/>
  <c r="H96" i="2"/>
  <c r="H97" i="2"/>
  <c r="I89" i="29"/>
  <c r="I49" i="29"/>
  <c r="I51" i="29" s="1"/>
  <c r="I53" i="29" s="1"/>
  <c r="I81" i="29" s="1"/>
  <c r="I61" i="1" s="1"/>
  <c r="I41" i="29"/>
  <c r="I79" i="29" s="1"/>
  <c r="I11" i="1"/>
  <c r="I17" i="1"/>
  <c r="I14" i="1"/>
  <c r="I15" i="1"/>
  <c r="I16" i="1"/>
  <c r="M56" i="1"/>
  <c r="F142" i="2"/>
  <c r="F147" i="2"/>
  <c r="I66" i="27"/>
  <c r="I63" i="17"/>
  <c r="I108" i="17" s="1"/>
  <c r="I109" i="17" s="1"/>
  <c r="I110" i="17" s="1"/>
  <c r="I100" i="17" s="1"/>
  <c r="I102" i="17" s="1"/>
  <c r="K35" i="10"/>
  <c r="K8" i="20"/>
  <c r="K57" i="1" s="1"/>
  <c r="K14" i="19"/>
  <c r="K28" i="3"/>
  <c r="K56" i="1" s="1"/>
  <c r="N56" i="1" s="1"/>
  <c r="K39" i="29"/>
  <c r="K86" i="2"/>
  <c r="K41" i="17"/>
  <c r="K56" i="17" s="1"/>
  <c r="G112" i="2"/>
  <c r="I38" i="1"/>
  <c r="I12" i="1"/>
  <c r="I31" i="1"/>
  <c r="M50" i="1"/>
  <c r="M31" i="1"/>
  <c r="H109" i="2"/>
  <c r="H108" i="2"/>
  <c r="J61" i="27"/>
  <c r="J64" i="27" s="1"/>
  <c r="J62" i="27"/>
  <c r="J66" i="1" s="1"/>
  <c r="J38" i="1" s="1"/>
  <c r="F148" i="2"/>
  <c r="I81" i="15"/>
  <c r="I82" i="15"/>
  <c r="I106" i="2"/>
  <c r="J54" i="10"/>
  <c r="J53" i="10"/>
  <c r="J57" i="10"/>
  <c r="H58" i="1"/>
  <c r="H29" i="1"/>
  <c r="H39" i="1" s="1"/>
  <c r="H10" i="1"/>
  <c r="H20" i="1" s="1"/>
  <c r="H66" i="17"/>
  <c r="H67" i="17" s="1"/>
  <c r="H69" i="17" s="1"/>
  <c r="H70" i="17"/>
  <c r="K39" i="5"/>
  <c r="L39" i="5" s="1"/>
  <c r="M51" i="5"/>
  <c r="K42" i="5"/>
  <c r="L42" i="5" s="1"/>
  <c r="M63" i="5"/>
  <c r="H136" i="2"/>
  <c r="H137" i="2"/>
  <c r="J52" i="1"/>
  <c r="M40" i="5"/>
  <c r="L40" i="5"/>
  <c r="G113" i="2"/>
  <c r="E22" i="1"/>
  <c r="E41" i="1"/>
  <c r="J80" i="17"/>
  <c r="J98" i="17" s="1"/>
  <c r="I92" i="2"/>
  <c r="J88" i="29"/>
  <c r="J86" i="29"/>
  <c r="K46" i="10"/>
  <c r="K45" i="10"/>
  <c r="K49" i="10" s="1"/>
  <c r="K63" i="27"/>
  <c r="H125" i="2"/>
  <c r="H124" i="2"/>
  <c r="K43" i="5"/>
  <c r="L43" i="5" s="1"/>
  <c r="M67" i="5"/>
  <c r="K44" i="5"/>
  <c r="M44" i="5" s="1"/>
  <c r="M71" i="5"/>
  <c r="M45" i="5"/>
  <c r="J59" i="27"/>
  <c r="J47" i="29"/>
  <c r="I37" i="1"/>
  <c r="J65" i="1"/>
  <c r="J50" i="10"/>
  <c r="J48" i="1" s="1"/>
  <c r="E21" i="1"/>
  <c r="E63" i="1"/>
  <c r="M77" i="2"/>
  <c r="I10" i="1"/>
  <c r="I58" i="1"/>
  <c r="I29" i="1"/>
  <c r="I134" i="2"/>
  <c r="J101" i="2"/>
  <c r="J119" i="2"/>
  <c r="J105" i="2"/>
  <c r="J90" i="2"/>
  <c r="J131" i="2"/>
  <c r="J130" i="2"/>
  <c r="J104" i="2"/>
  <c r="J103" i="2"/>
  <c r="J91" i="2"/>
  <c r="J118" i="2"/>
  <c r="J129" i="2"/>
  <c r="J128" i="2"/>
  <c r="J133" i="2"/>
  <c r="J102" i="2"/>
  <c r="J132" i="2"/>
  <c r="J100" i="2"/>
  <c r="L56" i="17"/>
  <c r="J53" i="1"/>
  <c r="M41" i="5"/>
  <c r="L41" i="5"/>
  <c r="G41" i="1"/>
  <c r="G22" i="1"/>
  <c r="K39" i="17" l="1"/>
  <c r="K65" i="17" s="1"/>
  <c r="H41" i="1"/>
  <c r="G90" i="17"/>
  <c r="G60" i="1" s="1"/>
  <c r="G40" i="1" s="1"/>
  <c r="G42" i="1" s="1"/>
  <c r="G23" i="1"/>
  <c r="L102" i="17"/>
  <c r="L100" i="17"/>
  <c r="I20" i="1"/>
  <c r="E42" i="1"/>
  <c r="I39" i="1"/>
  <c r="E23" i="1"/>
  <c r="H112" i="2"/>
  <c r="M57" i="1"/>
  <c r="M37" i="1"/>
  <c r="M38" i="1"/>
  <c r="L44" i="5"/>
  <c r="L46" i="5" s="1"/>
  <c r="G142" i="2"/>
  <c r="M79" i="2"/>
  <c r="J86" i="17"/>
  <c r="J35" i="1"/>
  <c r="J32" i="1"/>
  <c r="I124" i="2"/>
  <c r="J41" i="29"/>
  <c r="J79" i="29" s="1"/>
  <c r="J83" i="29" s="1"/>
  <c r="H113" i="2"/>
  <c r="J36" i="1"/>
  <c r="I83" i="29"/>
  <c r="I62" i="1" s="1"/>
  <c r="I41" i="1" s="1"/>
  <c r="J61" i="1"/>
  <c r="J22" i="1" s="1"/>
  <c r="J16" i="1"/>
  <c r="J106" i="2"/>
  <c r="J10" i="1"/>
  <c r="J58" i="1"/>
  <c r="J29" i="1"/>
  <c r="K65" i="1"/>
  <c r="N11" i="1" s="1"/>
  <c r="K50" i="10"/>
  <c r="K48" i="1" s="1"/>
  <c r="N48" i="1" s="1"/>
  <c r="I109" i="2"/>
  <c r="I108" i="2"/>
  <c r="K86" i="29"/>
  <c r="K88" i="29"/>
  <c r="K23" i="29"/>
  <c r="K34" i="29" s="1"/>
  <c r="K37" i="29" s="1"/>
  <c r="J11" i="1"/>
  <c r="J12" i="1"/>
  <c r="J13" i="1"/>
  <c r="J89" i="29"/>
  <c r="H141" i="2"/>
  <c r="K54" i="1"/>
  <c r="M42" i="5"/>
  <c r="K46" i="5"/>
  <c r="K51" i="1"/>
  <c r="M13" i="1" s="1"/>
  <c r="M39" i="5"/>
  <c r="M48" i="1"/>
  <c r="J58" i="10"/>
  <c r="J59" i="10" s="1"/>
  <c r="J30" i="1"/>
  <c r="J31" i="1"/>
  <c r="G114" i="2"/>
  <c r="G147" i="2"/>
  <c r="I70" i="17"/>
  <c r="L70" i="17" s="1"/>
  <c r="I66" i="17"/>
  <c r="I67" i="17" s="1"/>
  <c r="I69" i="17" s="1"/>
  <c r="L69" i="17" s="1"/>
  <c r="M19" i="1"/>
  <c r="J37" i="1"/>
  <c r="J134" i="2"/>
  <c r="I136" i="2"/>
  <c r="I137" i="2"/>
  <c r="I141" i="2" s="1"/>
  <c r="G148" i="2"/>
  <c r="K62" i="27"/>
  <c r="K66" i="1" s="1"/>
  <c r="N33" i="1" s="1"/>
  <c r="K61" i="27"/>
  <c r="K64" i="27" s="1"/>
  <c r="J51" i="10"/>
  <c r="H140" i="2"/>
  <c r="M10" i="1"/>
  <c r="J17" i="1"/>
  <c r="J63" i="17"/>
  <c r="J108" i="17" s="1"/>
  <c r="J109" i="17" s="1"/>
  <c r="J110" i="17" s="1"/>
  <c r="J100" i="17" s="1"/>
  <c r="J102" i="17" s="1"/>
  <c r="J66" i="27"/>
  <c r="M56" i="17"/>
  <c r="J18" i="1"/>
  <c r="J81" i="15"/>
  <c r="J82" i="15"/>
  <c r="J15" i="1"/>
  <c r="J34" i="1"/>
  <c r="M15" i="1"/>
  <c r="M34" i="1"/>
  <c r="M53" i="1"/>
  <c r="N53" i="1"/>
  <c r="J120" i="2"/>
  <c r="J92" i="2"/>
  <c r="L91" i="2"/>
  <c r="K55" i="1"/>
  <c r="M17" i="1" s="1"/>
  <c r="M43" i="5"/>
  <c r="K80" i="17"/>
  <c r="L80" i="17" s="1"/>
  <c r="I97" i="2"/>
  <c r="I96" i="2"/>
  <c r="J14" i="1"/>
  <c r="J33" i="1"/>
  <c r="N52" i="1"/>
  <c r="M14" i="1"/>
  <c r="M52" i="1"/>
  <c r="M33" i="1"/>
  <c r="H88" i="17"/>
  <c r="M29" i="1"/>
  <c r="J55" i="10"/>
  <c r="M12" i="1"/>
  <c r="K131" i="2"/>
  <c r="M131" i="2" s="1"/>
  <c r="K100" i="2"/>
  <c r="L100" i="2" s="1"/>
  <c r="K130" i="2"/>
  <c r="M130" i="2" s="1"/>
  <c r="K104" i="2"/>
  <c r="M104" i="2" s="1"/>
  <c r="K105" i="2"/>
  <c r="M105" i="2" s="1"/>
  <c r="K103" i="2"/>
  <c r="M103" i="2" s="1"/>
  <c r="K91" i="2"/>
  <c r="M91" i="2" s="1"/>
  <c r="K118" i="2"/>
  <c r="M118" i="2" s="1"/>
  <c r="K132" i="2"/>
  <c r="M132" i="2" s="1"/>
  <c r="K101" i="2"/>
  <c r="M101" i="2" s="1"/>
  <c r="K119" i="2"/>
  <c r="L119" i="2" s="1"/>
  <c r="K90" i="2"/>
  <c r="K129" i="2"/>
  <c r="M129" i="2" s="1"/>
  <c r="K128" i="2"/>
  <c r="L128" i="2" s="1"/>
  <c r="K133" i="2"/>
  <c r="M133" i="2" s="1"/>
  <c r="K102" i="2"/>
  <c r="M102" i="2" s="1"/>
  <c r="N57" i="1"/>
  <c r="J19" i="1"/>
  <c r="M18" i="1"/>
  <c r="K59" i="27"/>
  <c r="K47" i="29"/>
  <c r="K57" i="10"/>
  <c r="K54" i="10"/>
  <c r="K53" i="10"/>
  <c r="F149" i="2"/>
  <c r="M11" i="1"/>
  <c r="I22" i="1"/>
  <c r="K43" i="17" l="1"/>
  <c r="G63" i="1"/>
  <c r="N34" i="1"/>
  <c r="N38" i="1"/>
  <c r="H59" i="1"/>
  <c r="J20" i="1"/>
  <c r="K38" i="1"/>
  <c r="N30" i="1"/>
  <c r="N31" i="1"/>
  <c r="J39" i="1"/>
  <c r="N37" i="1"/>
  <c r="K98" i="17"/>
  <c r="M98" i="17" s="1"/>
  <c r="I140" i="2"/>
  <c r="I142" i="2" s="1"/>
  <c r="M43" i="17"/>
  <c r="L43" i="17"/>
  <c r="M35" i="1"/>
  <c r="M54" i="1"/>
  <c r="L132" i="2"/>
  <c r="L102" i="2"/>
  <c r="K81" i="15"/>
  <c r="K82" i="15"/>
  <c r="M32" i="1"/>
  <c r="M51" i="1"/>
  <c r="L105" i="2"/>
  <c r="L101" i="2"/>
  <c r="L90" i="2"/>
  <c r="L92" i="2" s="1"/>
  <c r="L104" i="2"/>
  <c r="L103" i="2"/>
  <c r="L133" i="2"/>
  <c r="L130" i="2"/>
  <c r="M55" i="1"/>
  <c r="M36" i="1"/>
  <c r="M16" i="1"/>
  <c r="M20" i="1" s="1"/>
  <c r="L129" i="2"/>
  <c r="L131" i="2"/>
  <c r="L118" i="2"/>
  <c r="L120" i="2" s="1"/>
  <c r="K86" i="17"/>
  <c r="L86" i="17" s="1"/>
  <c r="N18" i="1"/>
  <c r="N15" i="1"/>
  <c r="K55" i="10"/>
  <c r="H148" i="2"/>
  <c r="I88" i="17"/>
  <c r="L88" i="17" s="1"/>
  <c r="K19" i="1"/>
  <c r="M80" i="17"/>
  <c r="H114" i="2"/>
  <c r="I113" i="2"/>
  <c r="I148" i="2" s="1"/>
  <c r="K18" i="1"/>
  <c r="N10" i="1"/>
  <c r="K58" i="10"/>
  <c r="K59" i="10" s="1"/>
  <c r="N19" i="1"/>
  <c r="K51" i="10"/>
  <c r="N12" i="1"/>
  <c r="N14" i="1"/>
  <c r="K89" i="29"/>
  <c r="M46" i="5"/>
  <c r="K16" i="1"/>
  <c r="K35" i="1"/>
  <c r="N54" i="1"/>
  <c r="N35" i="1"/>
  <c r="N16" i="1"/>
  <c r="J108" i="2"/>
  <c r="J109" i="2"/>
  <c r="L106" i="2"/>
  <c r="J136" i="2"/>
  <c r="J137" i="2"/>
  <c r="M128" i="2"/>
  <c r="K134" i="2"/>
  <c r="L134" i="2" s="1"/>
  <c r="H90" i="17"/>
  <c r="I112" i="2"/>
  <c r="J124" i="2"/>
  <c r="J125" i="2"/>
  <c r="H142" i="2"/>
  <c r="K13" i="1"/>
  <c r="K32" i="1"/>
  <c r="N13" i="1"/>
  <c r="N32" i="1"/>
  <c r="N51" i="1"/>
  <c r="K41" i="29"/>
  <c r="K79" i="29" s="1"/>
  <c r="K49" i="29"/>
  <c r="K51" i="29" s="1"/>
  <c r="K53" i="29" s="1"/>
  <c r="K81" i="29" s="1"/>
  <c r="K61" i="1" s="1"/>
  <c r="K10" i="1"/>
  <c r="K29" i="1"/>
  <c r="K58" i="1"/>
  <c r="M90" i="2"/>
  <c r="M92" i="2" s="1"/>
  <c r="K120" i="2"/>
  <c r="K92" i="2"/>
  <c r="J66" i="17"/>
  <c r="J67" i="17" s="1"/>
  <c r="J69" i="17" s="1"/>
  <c r="J70" i="17"/>
  <c r="K30" i="1"/>
  <c r="K33" i="1"/>
  <c r="K31" i="1"/>
  <c r="K34" i="1"/>
  <c r="K106" i="2"/>
  <c r="K17" i="1"/>
  <c r="K36" i="1"/>
  <c r="N17" i="1"/>
  <c r="N36" i="1"/>
  <c r="N55" i="1"/>
  <c r="J96" i="2"/>
  <c r="J97" i="2"/>
  <c r="J62" i="1"/>
  <c r="H147" i="2"/>
  <c r="N29" i="1"/>
  <c r="K11" i="1"/>
  <c r="K14" i="1"/>
  <c r="K15" i="1"/>
  <c r="K12" i="1"/>
  <c r="M100" i="2"/>
  <c r="M119" i="2"/>
  <c r="M120" i="2" s="1"/>
  <c r="K66" i="27"/>
  <c r="K63" i="17"/>
  <c r="K108" i="17" s="1"/>
  <c r="K109" i="17" s="1"/>
  <c r="K110" i="17" s="1"/>
  <c r="K100" i="17" s="1"/>
  <c r="K37" i="1"/>
  <c r="G149" i="2"/>
  <c r="F88" i="29" l="1"/>
  <c r="F50" i="29"/>
  <c r="F51" i="29" s="1"/>
  <c r="F53" i="29" s="1"/>
  <c r="F81" i="29" s="1"/>
  <c r="M39" i="1"/>
  <c r="N20" i="1"/>
  <c r="K102" i="17"/>
  <c r="M102" i="17" s="1"/>
  <c r="N39" i="1"/>
  <c r="K39" i="1"/>
  <c r="K20" i="1"/>
  <c r="H60" i="1"/>
  <c r="H40" i="1" s="1"/>
  <c r="H42" i="1" s="1"/>
  <c r="M100" i="17"/>
  <c r="M58" i="1"/>
  <c r="M86" i="17"/>
  <c r="I90" i="17"/>
  <c r="I60" i="1" s="1"/>
  <c r="I59" i="1"/>
  <c r="J88" i="17"/>
  <c r="J59" i="1" s="1"/>
  <c r="J113" i="2"/>
  <c r="L97" i="2"/>
  <c r="K96" i="2"/>
  <c r="L96" i="2" s="1"/>
  <c r="K97" i="2"/>
  <c r="M97" i="2" s="1"/>
  <c r="K83" i="29"/>
  <c r="K62" i="1" s="1"/>
  <c r="J141" i="2"/>
  <c r="H21" i="1"/>
  <c r="H23" i="1" s="1"/>
  <c r="H149" i="2"/>
  <c r="K124" i="2"/>
  <c r="M124" i="2" s="1"/>
  <c r="K125" i="2"/>
  <c r="L125" i="2" s="1"/>
  <c r="J140" i="2"/>
  <c r="L124" i="2"/>
  <c r="K136" i="2"/>
  <c r="M136" i="2" s="1"/>
  <c r="K137" i="2"/>
  <c r="M137" i="2" s="1"/>
  <c r="M134" i="2"/>
  <c r="K66" i="17"/>
  <c r="K67" i="17" s="1"/>
  <c r="K69" i="17" s="1"/>
  <c r="M69" i="17" s="1"/>
  <c r="K70" i="17"/>
  <c r="M70" i="17" s="1"/>
  <c r="J41" i="1"/>
  <c r="N58" i="1"/>
  <c r="I147" i="2"/>
  <c r="I149" i="2" s="1"/>
  <c r="I114" i="2"/>
  <c r="K108" i="2"/>
  <c r="M108" i="2" s="1"/>
  <c r="K109" i="2"/>
  <c r="M109" i="2" s="1"/>
  <c r="M106" i="2"/>
  <c r="K22" i="1"/>
  <c r="J112" i="2"/>
  <c r="L108" i="2"/>
  <c r="F83" i="29" l="1"/>
  <c r="F61" i="1"/>
  <c r="F89" i="29"/>
  <c r="F60" i="1" s="1"/>
  <c r="F59" i="1"/>
  <c r="H63" i="1"/>
  <c r="L90" i="17"/>
  <c r="I21" i="1"/>
  <c r="I23" i="1" s="1"/>
  <c r="M60" i="1"/>
  <c r="L136" i="2"/>
  <c r="L137" i="2"/>
  <c r="L109" i="2"/>
  <c r="J90" i="17"/>
  <c r="J60" i="1" s="1"/>
  <c r="J40" i="1" s="1"/>
  <c r="J42" i="1" s="1"/>
  <c r="I63" i="1"/>
  <c r="I40" i="1"/>
  <c r="I42" i="1" s="1"/>
  <c r="K141" i="2"/>
  <c r="M141" i="2" s="1"/>
  <c r="K41" i="1"/>
  <c r="K88" i="17"/>
  <c r="K59" i="1" s="1"/>
  <c r="K140" i="2"/>
  <c r="K113" i="2"/>
  <c r="J148" i="2"/>
  <c r="L148" i="2" s="1"/>
  <c r="L113" i="2"/>
  <c r="J142" i="2"/>
  <c r="L140" i="2"/>
  <c r="J21" i="1"/>
  <c r="J23" i="1" s="1"/>
  <c r="M125" i="2"/>
  <c r="K112" i="2"/>
  <c r="L112" i="2" s="1"/>
  <c r="M96" i="2"/>
  <c r="J147" i="2"/>
  <c r="J114" i="2"/>
  <c r="M40" i="1" l="1"/>
  <c r="F21" i="1"/>
  <c r="F40" i="1"/>
  <c r="N59" i="1"/>
  <c r="M59" i="1"/>
  <c r="F22" i="1"/>
  <c r="M61" i="1"/>
  <c r="M22" i="1"/>
  <c r="N22" i="1"/>
  <c r="N61" i="1"/>
  <c r="M21" i="1"/>
  <c r="F62" i="1"/>
  <c r="F63" i="1" s="1"/>
  <c r="J63" i="1"/>
  <c r="N21" i="1"/>
  <c r="M88" i="17"/>
  <c r="M112" i="2"/>
  <c r="K148" i="2"/>
  <c r="M148" i="2" s="1"/>
  <c r="L141" i="2"/>
  <c r="L142" i="2"/>
  <c r="K142" i="2"/>
  <c r="M142" i="2" s="1"/>
  <c r="M140" i="2"/>
  <c r="M113" i="2"/>
  <c r="K147" i="2"/>
  <c r="K114" i="2"/>
  <c r="M114" i="2" s="1"/>
  <c r="K90" i="17"/>
  <c r="J149" i="2"/>
  <c r="L149" i="2" s="1"/>
  <c r="L147" i="2"/>
  <c r="M41" i="1" l="1"/>
  <c r="M42" i="1" s="1"/>
  <c r="N23" i="1"/>
  <c r="M23" i="1"/>
  <c r="F23" i="1"/>
  <c r="M62" i="1"/>
  <c r="M63" i="1" s="1"/>
  <c r="N41" i="1"/>
  <c r="N62" i="1"/>
  <c r="F41" i="1"/>
  <c r="F42" i="1" s="1"/>
  <c r="K60" i="1"/>
  <c r="K40" i="1" s="1"/>
  <c r="K42" i="1" s="1"/>
  <c r="M90" i="17"/>
  <c r="K149" i="2"/>
  <c r="M149" i="2" s="1"/>
  <c r="L114" i="2"/>
  <c r="M147" i="2"/>
  <c r="K21" i="1"/>
  <c r="K23" i="1" s="1"/>
  <c r="K63" i="1" l="1"/>
  <c r="N60" i="1"/>
  <c r="N63" i="1" s="1"/>
  <c r="N40" i="1"/>
  <c r="N42" i="1" l="1"/>
</calcChain>
</file>

<file path=xl/sharedStrings.xml><?xml version="1.0" encoding="utf-8"?>
<sst xmlns="http://schemas.openxmlformats.org/spreadsheetml/2006/main" count="1459" uniqueCount="637">
  <si>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</si>
  <si>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</si>
  <si>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</si>
  <si>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</si>
  <si>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</si>
  <si>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</si>
  <si>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</si>
  <si>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</si>
  <si>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</si>
  <si>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</si>
  <si>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</si>
  <si>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</si>
  <si>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</si>
  <si>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</si>
  <si>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</si>
  <si>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</si>
  <si>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</si>
  <si>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</si>
  <si>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</si>
  <si>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</si>
  <si>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</si>
  <si>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</si>
  <si>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</si>
  <si>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</si>
  <si>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</si>
  <si>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</si>
  <si>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</si>
  <si>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</si>
  <si>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</si>
  <si>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</si>
  <si>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</si>
  <si>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</si>
  <si>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</si>
  <si>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</si>
  <si>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</si>
  <si>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</si>
  <si>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</si>
  <si>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</si>
  <si>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</si>
  <si>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</si>
  <si>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</si>
  <si>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</si>
  <si>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</si>
  <si>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</si>
  <si>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</si>
  <si>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</si>
  <si>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</si>
  <si>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</si>
  <si>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</si>
  <si>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</si>
  <si>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</si>
  <si>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</si>
  <si>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</si>
  <si>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</si>
  <si>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</si>
  <si>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</si>
  <si>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</si>
  <si>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</si>
  <si>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</si>
  <si>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</si>
  <si>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</si>
  <si>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</si>
  <si>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</si>
  <si>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</si>
  <si>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</si>
  <si>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</si>
  <si>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</si>
  <si>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</si>
  <si>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</si>
  <si>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</si>
  <si>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</si>
  <si>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</si>
  <si>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</si>
  <si>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</si>
  <si>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</si>
  <si>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</si>
  <si>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</si>
  <si>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</si>
  <si>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</si>
  <si>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</si>
  <si>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</si>
  <si>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</si>
  <si>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</si>
  <si>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</si>
  <si>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</si>
  <si>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</si>
  <si>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</si>
  <si>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</si>
  <si>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</si>
  <si>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</si>
  <si>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</si>
  <si>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</si>
  <si>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</si>
  <si>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</si>
  <si>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</si>
  <si>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</si>
  <si>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</si>
  <si>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</si>
  <si>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</si>
  <si>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</si>
  <si>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</si>
  <si>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</si>
  <si>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</si>
  <si>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</si>
  <si>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</si>
  <si>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</si>
  <si>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</si>
  <si>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</si>
  <si>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</si>
  <si>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</si>
  <si>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</si>
  <si>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</si>
  <si>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</si>
  <si>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</si>
  <si>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</si>
  <si>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</si>
  <si>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</si>
  <si>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</si>
  <si>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</si>
  <si>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</si>
  <si>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</si>
  <si>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</si>
  <si>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</si>
  <si>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</si>
  <si>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</si>
  <si>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</si>
  <si>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</si>
  <si>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</si>
  <si>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</si>
  <si>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</si>
  <si>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</si>
  <si>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</si>
  <si>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</si>
  <si>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</si>
  <si>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</si>
  <si>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</si>
  <si>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</si>
  <si>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</si>
  <si>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</si>
  <si>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</si>
  <si>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</si>
  <si>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</si>
  <si>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</si>
  <si>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</si>
  <si>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</si>
  <si>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</si>
  <si>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</si>
  <si>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</si>
  <si>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</si>
  <si>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</si>
  <si>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</si>
  <si>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</si>
  <si>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</si>
  <si>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</si>
  <si>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</si>
  <si>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</si>
  <si>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</si>
  <si>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</si>
  <si>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</si>
  <si>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</si>
  <si>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</si>
  <si>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</si>
  <si>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</si>
  <si>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</si>
  <si>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</si>
  <si>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</si>
  <si>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</si>
  <si>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</si>
  <si>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</si>
  <si>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</si>
  <si>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</si>
  <si>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</si>
  <si>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</si>
  <si>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</si>
  <si>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</si>
  <si>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</si>
  <si>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</si>
  <si>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</si>
  <si>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</si>
  <si>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</si>
  <si>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</si>
  <si>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</si>
  <si>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</si>
  <si>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</si>
  <si>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</si>
  <si>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</si>
  <si>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</si>
  <si>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</si>
  <si>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</si>
  <si>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</si>
  <si>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</si>
  <si>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</si>
  <si>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</si>
  <si>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</si>
  <si>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</si>
  <si>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</si>
  <si>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</si>
  <si>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</si>
  <si>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</si>
  <si>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</si>
  <si>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</si>
  <si>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</si>
  <si>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</si>
  <si>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</si>
  <si>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</si>
  <si>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</si>
  <si>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</si>
  <si>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</si>
  <si>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</si>
  <si>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</si>
  <si>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</si>
  <si>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</si>
  <si>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</si>
  <si>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</si>
  <si>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</si>
  <si>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</si>
  <si>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</si>
  <si>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</si>
  <si>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</si>
  <si>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</si>
  <si>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</si>
  <si>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</si>
  <si>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</si>
  <si>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</si>
  <si>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</si>
  <si>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</si>
  <si>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</si>
  <si>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</si>
  <si>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</si>
  <si>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</si>
  <si>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</si>
  <si>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</si>
  <si>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</si>
  <si>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</si>
  <si>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</si>
  <si>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</si>
  <si>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</si>
  <si>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</si>
  <si>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</si>
  <si>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</si>
  <si>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</si>
  <si>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</si>
  <si>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</si>
  <si>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</si>
  <si>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</si>
  <si>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</si>
  <si>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</si>
  <si>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</si>
  <si>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</si>
  <si>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</si>
  <si>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</si>
  <si>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</si>
  <si>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</si>
  <si>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</si>
  <si>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</si>
  <si>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</si>
  <si>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</si>
  <si>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</si>
  <si>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</si>
  <si>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</si>
  <si>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</si>
  <si>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</si>
  <si>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</si>
  <si>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</si>
  <si>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</si>
  <si>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</si>
  <si>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</si>
  <si>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</si>
  <si>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</si>
  <si>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</si>
  <si>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</si>
  <si>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</si>
  <si>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</si>
  <si>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</si>
  <si>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</si>
  <si>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</si>
  <si>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</si>
  <si>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</si>
  <si>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</si>
  <si>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</si>
  <si>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</si>
  <si>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</si>
  <si>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</si>
  <si>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</si>
  <si>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</si>
  <si>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</si>
  <si>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</si>
  <si>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</si>
  <si>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</si>
  <si>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</si>
  <si>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</si>
  <si>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</si>
  <si>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</si>
  <si>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</si>
  <si>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</si>
  <si>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</si>
  <si>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</si>
  <si>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</si>
  <si>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</si>
  <si>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</si>
  <si>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</si>
  <si>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</si>
  <si>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</si>
  <si>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</si>
  <si>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</si>
  <si>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</si>
  <si>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</si>
  <si>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</si>
  <si>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</si>
  <si>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</si>
  <si>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</si>
  <si>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</si>
  <si>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</si>
  <si>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</si>
  <si>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</si>
  <si>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</si>
  <si>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</si>
  <si>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</si>
  <si>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</si>
  <si>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</si>
  <si>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</si>
  <si>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</si>
  <si>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</si>
  <si>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</si>
  <si>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</si>
  <si>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</si>
  <si>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</si>
  <si>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</si>
  <si>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</si>
  <si>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</si>
  <si>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</si>
  <si>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</si>
  <si>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</si>
  <si>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</si>
  <si>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</si>
  <si>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</si>
  <si>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</si>
  <si>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</si>
  <si>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</si>
  <si>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</si>
  <si>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</si>
  <si>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</si>
  <si>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</si>
  <si>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</si>
  <si>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</si>
  <si>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</si>
  <si>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</si>
  <si>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</si>
  <si>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</si>
  <si>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</si>
  <si>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</si>
  <si>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</si>
  <si>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</si>
  <si>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</si>
  <si>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</si>
  <si>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</si>
  <si>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</si>
  <si>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</si>
  <si>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</si>
  <si>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</si>
  <si>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</si>
  <si>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</si>
  <si>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</si>
  <si>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</si>
  <si>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</si>
  <si>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</si>
  <si>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</si>
  <si>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</si>
  <si>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</si>
  <si>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</si>
  <si>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</si>
  <si>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</si>
  <si>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</si>
  <si>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</si>
  <si>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</si>
  <si>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</si>
  <si>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</si>
  <si>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</si>
  <si>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</si>
  <si>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</si>
  <si>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</si>
  <si>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</si>
  <si>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</si>
  <si>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</si>
  <si>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</si>
  <si>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</si>
  <si>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</si>
  <si>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</si>
  <si>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</si>
  <si>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</si>
  <si>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</si>
  <si>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</si>
  <si>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</si>
  <si>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</si>
  <si>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</si>
  <si>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</si>
  <si>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</si>
  <si>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</si>
  <si>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</si>
  <si>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</si>
  <si>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</si>
  <si>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</si>
  <si>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</si>
  <si>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</si>
  <si>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</si>
  <si>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</si>
  <si>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</si>
  <si>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</si>
  <si>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</si>
  <si>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</si>
  <si>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</si>
  <si>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</si>
  <si>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</si>
  <si>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</si>
  <si>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</si>
  <si>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</si>
  <si>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</si>
  <si>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</si>
  <si>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</si>
  <si>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</si>
  <si>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</si>
  <si>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</si>
  <si>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</si>
  <si>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</si>
  <si>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</si>
  <si>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</si>
  <si>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</si>
  <si>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</si>
  <si>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</si>
  <si>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</si>
  <si>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</si>
  <si>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</si>
  <si>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</si>
  <si>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</si>
  <si>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</si>
  <si>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</si>
  <si>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</si>
  <si>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</si>
  <si>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</si>
  <si>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</si>
  <si>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</si>
  <si>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</si>
  <si>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</si>
  <si>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</si>
  <si>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</si>
  <si>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</si>
  <si>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</si>
  <si>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</si>
  <si>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</si>
  <si>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</si>
  <si>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</si>
  <si>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</si>
  <si>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</si>
  <si>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</si>
  <si>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</si>
  <si>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</si>
  <si>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</si>
  <si>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</si>
  <si>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</si>
  <si>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</si>
  <si>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</si>
  <si>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</si>
  <si>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</si>
  <si>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</si>
  <si>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</si>
  <si>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</si>
  <si>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</si>
  <si>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</si>
  <si>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</si>
  <si>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</si>
  <si>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</si>
  <si>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</si>
  <si>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</si>
  <si>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</si>
  <si>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</si>
  <si>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</si>
  <si>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</si>
  <si>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</si>
  <si>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</si>
  <si>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</si>
  <si>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</si>
  <si>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</si>
  <si>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</si>
  <si>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</si>
  <si>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</si>
  <si>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</si>
  <si>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</si>
  <si>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</si>
  <si>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</si>
  <si>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</si>
  <si>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</si>
  <si>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</si>
  <si>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</si>
  <si>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</si>
  <si>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</si>
  <si>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</si>
  <si>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</si>
  <si>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</si>
  <si>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</si>
  <si>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</si>
  <si>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</si>
  <si>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</si>
  <si>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</si>
  <si>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</si>
  <si>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</si>
  <si>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</si>
  <si>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</si>
  <si>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</si>
  <si>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</si>
  <si>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</si>
  <si>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</si>
  <si>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</si>
  <si>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</si>
  <si>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</si>
  <si>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</si>
  <si>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</si>
  <si>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</si>
  <si>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</si>
  <si>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</si>
  <si>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</si>
  <si>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</si>
  <si>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</si>
  <si>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</si>
  <si>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</si>
  <si>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</si>
  <si>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</si>
  <si>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</si>
  <si>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</si>
  <si>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</si>
  <si>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</si>
  <si>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</si>
  <si>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</si>
  <si>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</si>
  <si>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</si>
  <si>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</si>
  <si>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</si>
  <si>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</si>
  <si>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</si>
  <si>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</si>
  <si>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</si>
  <si>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</si>
  <si>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</si>
  <si>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</si>
  <si>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</si>
  <si>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</si>
  <si>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</si>
  <si>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</si>
  <si>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</si>
  <si>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</si>
  <si>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</si>
  <si>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</si>
  <si>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</si>
  <si>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</si>
  <si>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</si>
  <si>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</si>
  <si>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</si>
  <si>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</si>
  <si>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</si>
  <si>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</si>
  <si>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</si>
  <si>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</si>
  <si>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</si>
  <si>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</si>
  <si>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NGESO</t>
  </si>
  <si>
    <t xml:space="preserve">ESO Reporting and Incentive (ESORI) </t>
  </si>
  <si>
    <t>Updated RPI Index for 2020 and 2021, M3 New Forecasts RPI for 2021, 2022 and 2023</t>
  </si>
  <si>
    <t xml:space="preserve">Updated the cost of debt figures for 2021, 2022 and 2023 </t>
  </si>
  <si>
    <t>RFPR Cover</t>
  </si>
  <si>
    <t>Changed NGET(SO) to NGESO in the Drop down list</t>
  </si>
  <si>
    <t xml:space="preserve">Row 196 - NGESO incentive added </t>
  </si>
  <si>
    <t>Formula in cell E37 has been corrected</t>
  </si>
  <si>
    <t>Cell D37 - formula has been corrected.</t>
  </si>
  <si>
    <t xml:space="preserve"> Cell M30 -formula has been removed.</t>
  </si>
  <si>
    <t>May 2021 Publication</t>
  </si>
  <si>
    <t>SP Cashflow View</t>
  </si>
  <si>
    <t>Adjustment to taxable profit from 31 December year end to 31 March year end</t>
  </si>
  <si>
    <t>Corporation tax rate change adjustment</t>
  </si>
  <si>
    <t>Tax paid on items with no allowance</t>
  </si>
  <si>
    <t>Clawback Direction  - sums unpaid</t>
  </si>
  <si>
    <t>Connections performance standards payments adjustment</t>
  </si>
  <si>
    <t>DPCR4 residual distribution losses incentive (WPD and SSE owned licencees)</t>
  </si>
  <si>
    <t>DPCR4 residual distribution losses incentive and Growth Term (ENWL, NPg, UKPN and SP licensees)</t>
  </si>
  <si>
    <t>[Input description]</t>
  </si>
  <si>
    <t>Excluded Services included in other operating income (DRS 2,3,8,9)</t>
  </si>
  <si>
    <t>De Minimis included in other operating income</t>
  </si>
  <si>
    <t>Customer contributions from C20 in C&amp;V</t>
  </si>
  <si>
    <t>Transfers of assets from customers</t>
  </si>
  <si>
    <t>Increase in UoS tariffs relating to Supplier of Last Resort derogation</t>
  </si>
  <si>
    <t>Roundings</t>
  </si>
  <si>
    <t>2020/21 does not inlclude Stakeholder Engagement Reward. This has not been determined by Ofgem.</t>
  </si>
  <si>
    <t>Penalty only mechanism. No penalties incurred to date.</t>
  </si>
  <si>
    <t>The losses discretionary reward scheme is only applicable in 2016/17, 2018/19 and 2020/21. No reward was achieved in 2020/21.</t>
  </si>
  <si>
    <t>Total property, plant and equipment in use</t>
  </si>
  <si>
    <t>Right of use Assets (Under IFRS 16)</t>
  </si>
  <si>
    <t>LCNF Payments Cost &amp; Payments</t>
  </si>
  <si>
    <t>SPPS Depreciation of Non-System assets</t>
  </si>
  <si>
    <t>Other Operating Income in Reg Accounts</t>
  </si>
  <si>
    <t>Connections &amp; NTR Costs</t>
  </si>
  <si>
    <t>Ex-Gratia payments borne by SPPS, shown in C23 of RRP</t>
  </si>
  <si>
    <t xml:space="preserve">Non-System Capex </t>
  </si>
  <si>
    <t>Pensions Deficit Repair Payments</t>
  </si>
  <si>
    <t>Net Book value of Disposals in RRP not in top section of F8</t>
  </si>
  <si>
    <t>Other RIGs Adjustments</t>
  </si>
  <si>
    <t>Supplier of Last Resort</t>
  </si>
  <si>
    <t>Right of Use Assets</t>
  </si>
  <si>
    <t>Pass through</t>
  </si>
  <si>
    <t>Other Non Activity Based Costs</t>
  </si>
  <si>
    <t>Total Costs outside Price Control</t>
  </si>
  <si>
    <t>Related Party Margin</t>
  </si>
  <si>
    <t>NIA &amp; IFI/LCNF</t>
  </si>
  <si>
    <t>Cash proceeds from sales of assets and scrap</t>
  </si>
  <si>
    <t>Value added services (DRS 8)</t>
  </si>
  <si>
    <t>Timing difference and over/under performance</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</si>
  <si>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</si>
  <si>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</si>
  <si>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</si>
  <si>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</si>
  <si>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</si>
  <si>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</si>
  <si>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</si>
  <si>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</si>
  <si>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</si>
  <si>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Other Adjustments [please specify]</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</si>
  <si>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</si>
  <si>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</si>
  <si>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</si>
  <si>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</si>
  <si>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</si>
  <si>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</si>
  <si>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</si>
  <si>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</si>
  <si>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</si>
  <si>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</si>
  <si>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</si>
  <si>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</si>
  <si>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18/19</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</si>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</sst>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0">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0.000%"/>
    <numFmt numFmtId="351" formatCode="_(* #,##0.000_);_(* \(#,##0.000\);_(* &quot;-&quot;??_);_(@_)"/>
    <numFmt numFmtId="352" formatCode="0.0000"/>
    <numFmt numFmtId="353" formatCode="[$-F800]dddd\,\ mmmm\ dd\,\ yyyy"/>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6">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3" fontId="4" fillId="0" borderId="0"/>
    <xf numFmtId="353" fontId="4" fillId="0" borderId="0"/>
    <xf numFmtId="353" fontId="7"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7" fillId="0" borderId="0"/>
    <xf numFmtId="353" fontId="4" fillId="0" borderId="0"/>
    <xf numFmtId="353" fontId="7" fillId="0" borderId="0"/>
    <xf numFmtId="353" fontId="4" fillId="0" borderId="0"/>
    <xf numFmtId="353" fontId="7"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lignment vertical="center"/>
    </xf>
    <xf numFmtId="353" fontId="7" fillId="0" borderId="0"/>
    <xf numFmtId="353" fontId="7" fillId="0" borderId="0"/>
    <xf numFmtId="353" fontId="7" fillId="0" borderId="0"/>
    <xf numFmtId="353" fontId="7" fillId="0" borderId="0"/>
    <xf numFmtId="353" fontId="4" fillId="0" borderId="0">
      <alignment vertical="center"/>
    </xf>
    <xf numFmtId="353" fontId="4" fillId="0" borderId="0">
      <alignment vertical="center"/>
    </xf>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7" fillId="0" borderId="0">
      <alignment vertical="justify"/>
    </xf>
    <xf numFmtId="353" fontId="13" fillId="30" borderId="0" applyNumberFormat="0" applyBorder="0" applyAlignment="0" applyProtection="0"/>
    <xf numFmtId="353" fontId="13" fillId="30"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7" borderId="0" applyNumberFormat="0" applyBorder="0" applyAlignment="0" applyProtection="0"/>
    <xf numFmtId="353" fontId="13" fillId="27" borderId="0" applyNumberFormat="0" applyBorder="0" applyAlignment="0" applyProtection="0"/>
    <xf numFmtId="353" fontId="13" fillId="119" borderId="0" applyNumberFormat="0" applyBorder="0" applyAlignment="0" applyProtection="0"/>
    <xf numFmtId="353" fontId="13" fillId="119" borderId="0" applyNumberFormat="0" applyBorder="0" applyAlignment="0" applyProtection="0"/>
    <xf numFmtId="353" fontId="13" fillId="30" borderId="0" applyNumberFormat="0" applyBorder="0" applyAlignment="0" applyProtection="0"/>
    <xf numFmtId="353" fontId="13" fillId="30"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13" fillId="61" borderId="0" applyNumberFormat="0" applyBorder="0" applyAlignment="0" applyProtection="0"/>
    <xf numFmtId="353" fontId="13" fillId="61"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6" borderId="0" applyNumberFormat="0" applyBorder="0" applyAlignment="0" applyProtection="0"/>
    <xf numFmtId="353" fontId="13" fillId="26" borderId="0" applyNumberFormat="0" applyBorder="0" applyAlignment="0" applyProtection="0"/>
    <xf numFmtId="353" fontId="13" fillId="120" borderId="0" applyNumberFormat="0" applyBorder="0" applyAlignment="0" applyProtection="0"/>
    <xf numFmtId="353" fontId="13" fillId="120" borderId="0" applyNumberFormat="0" applyBorder="0" applyAlignment="0" applyProtection="0"/>
    <xf numFmtId="353" fontId="13" fillId="31" borderId="0" applyNumberFormat="0" applyBorder="0" applyAlignment="0" applyProtection="0"/>
    <xf numFmtId="353" fontId="13" fillId="31"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56" fillId="121" borderId="0" applyNumberFormat="0" applyBorder="0" applyAlignment="0" applyProtection="0"/>
    <xf numFmtId="353" fontId="56" fillId="121" borderId="0" applyNumberFormat="0" applyBorder="0" applyAlignment="0" applyProtection="0"/>
    <xf numFmtId="353" fontId="56" fillId="19" borderId="0" applyNumberFormat="0" applyBorder="0" applyAlignment="0" applyProtection="0"/>
    <xf numFmtId="353" fontId="56" fillId="19" borderId="0" applyNumberFormat="0" applyBorder="0" applyAlignment="0" applyProtection="0"/>
    <xf numFmtId="353" fontId="56" fillId="26" borderId="0" applyNumberFormat="0" applyBorder="0" applyAlignment="0" applyProtection="0"/>
    <xf numFmtId="353" fontId="56" fillId="26" borderId="0" applyNumberFormat="0" applyBorder="0" applyAlignment="0" applyProtection="0"/>
    <xf numFmtId="353" fontId="56" fillId="120" borderId="0" applyNumberFormat="0" applyBorder="0" applyAlignment="0" applyProtection="0"/>
    <xf numFmtId="353" fontId="56" fillId="120" borderId="0" applyNumberFormat="0" applyBorder="0" applyAlignment="0" applyProtection="0"/>
    <xf numFmtId="353" fontId="56" fillId="121" borderId="0" applyNumberFormat="0" applyBorder="0" applyAlignment="0" applyProtection="0"/>
    <xf numFmtId="353" fontId="56" fillId="121" borderId="0" applyNumberFormat="0" applyBorder="0" applyAlignment="0" applyProtection="0"/>
    <xf numFmtId="353" fontId="56" fillId="23" borderId="0" applyNumberFormat="0" applyBorder="0" applyAlignment="0" applyProtection="0"/>
    <xf numFmtId="353" fontId="56" fillId="23" borderId="0" applyNumberFormat="0" applyBorder="0" applyAlignment="0" applyProtection="0"/>
    <xf numFmtId="353" fontId="8" fillId="65" borderId="0" applyNumberFormat="0" applyBorder="0" applyAlignment="0" applyProtection="0"/>
    <xf numFmtId="353" fontId="8" fillId="12" borderId="0" applyNumberFormat="0" applyBorder="0" applyAlignment="0" applyProtection="0"/>
    <xf numFmtId="353" fontId="9" fillId="122" borderId="0" applyNumberFormat="0" applyBorder="0" applyAlignment="0" applyProtection="0"/>
    <xf numFmtId="353" fontId="9" fillId="66" borderId="0" applyNumberFormat="0" applyBorder="0" applyAlignment="0" applyProtection="0"/>
    <xf numFmtId="353" fontId="9" fillId="66" borderId="0" applyNumberFormat="0" applyBorder="0" applyAlignment="0" applyProtection="0"/>
    <xf numFmtId="353" fontId="8" fillId="68" borderId="0" applyNumberFormat="0" applyBorder="0" applyAlignment="0" applyProtection="0"/>
    <xf numFmtId="353" fontId="8" fillId="11" borderId="0" applyNumberFormat="0" applyBorder="0" applyAlignment="0" applyProtection="0"/>
    <xf numFmtId="353" fontId="9" fillId="8" borderId="0" applyNumberFormat="0" applyBorder="0" applyAlignment="0" applyProtection="0"/>
    <xf numFmtId="353" fontId="9" fillId="69" borderId="0" applyNumberFormat="0" applyBorder="0" applyAlignment="0" applyProtection="0"/>
    <xf numFmtId="353" fontId="9" fillId="69" borderId="0" applyNumberFormat="0" applyBorder="0" applyAlignment="0" applyProtection="0"/>
    <xf numFmtId="353" fontId="8" fillId="70" borderId="0" applyNumberFormat="0" applyBorder="0" applyAlignment="0" applyProtection="0"/>
    <xf numFmtId="353" fontId="8" fillId="71" borderId="0" applyNumberFormat="0" applyBorder="0" applyAlignment="0" applyProtection="0"/>
    <xf numFmtId="353" fontId="9" fillId="123"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8" fillId="68" borderId="0" applyNumberFormat="0" applyBorder="0" applyAlignment="0" applyProtection="0"/>
    <xf numFmtId="353" fontId="8" fillId="9" borderId="0" applyNumberFormat="0" applyBorder="0" applyAlignment="0" applyProtection="0"/>
    <xf numFmtId="353" fontId="9" fillId="11" borderId="0" applyNumberFormat="0" applyBorder="0" applyAlignment="0" applyProtection="0"/>
    <xf numFmtId="353" fontId="9" fillId="125" borderId="0" applyNumberFormat="0" applyBorder="0" applyAlignment="0" applyProtection="0"/>
    <xf numFmtId="353" fontId="9" fillId="125" borderId="0" applyNumberFormat="0" applyBorder="0" applyAlignment="0" applyProtection="0"/>
    <xf numFmtId="353" fontId="8" fillId="10" borderId="0" applyNumberFormat="0" applyBorder="0" applyAlignment="0" applyProtection="0"/>
    <xf numFmtId="353" fontId="8" fillId="5" borderId="0" applyNumberFormat="0" applyBorder="0" applyAlignment="0" applyProtection="0"/>
    <xf numFmtId="353" fontId="9" fillId="122" borderId="0" applyNumberFormat="0" applyBorder="0" applyAlignment="0" applyProtection="0"/>
    <xf numFmtId="353" fontId="9" fillId="122" borderId="0" applyNumberFormat="0" applyBorder="0" applyAlignment="0" applyProtection="0"/>
    <xf numFmtId="353" fontId="9" fillId="122" borderId="0" applyNumberFormat="0" applyBorder="0" applyAlignment="0" applyProtection="0"/>
    <xf numFmtId="353" fontId="8" fillId="13" borderId="0" applyNumberFormat="0" applyBorder="0" applyAlignment="0" applyProtection="0"/>
    <xf numFmtId="353" fontId="8" fillId="14" borderId="0" applyNumberFormat="0" applyBorder="0" applyAlignment="0" applyProtection="0"/>
    <xf numFmtId="353" fontId="9" fillId="126" borderId="0" applyNumberFormat="0" applyBorder="0" applyAlignment="0" applyProtection="0"/>
    <xf numFmtId="353" fontId="9" fillId="127" borderId="0" applyNumberFormat="0" applyBorder="0" applyAlignment="0" applyProtection="0"/>
    <xf numFmtId="353" fontId="9" fillId="127" borderId="0" applyNumberFormat="0" applyBorder="0" applyAlignment="0" applyProtection="0"/>
    <xf numFmtId="353" fontId="247" fillId="13" borderId="0" applyNumberFormat="0" applyBorder="0" applyAlignment="0" applyProtection="0"/>
    <xf numFmtId="353" fontId="247" fillId="13" borderId="0" applyNumberFormat="0" applyBorder="0" applyAlignment="0" applyProtection="0"/>
    <xf numFmtId="353" fontId="248" fillId="128" borderId="123" applyNumberFormat="0" applyAlignment="0" applyProtection="0"/>
    <xf numFmtId="353" fontId="248" fillId="128" borderId="123" applyNumberFormat="0" applyAlignment="0" applyProtection="0"/>
    <xf numFmtId="353" fontId="85" fillId="125" borderId="19" applyNumberFormat="0" applyAlignment="0" applyProtection="0"/>
    <xf numFmtId="353" fontId="85" fillId="125" borderId="19" applyNumberFormat="0" applyAlignment="0" applyProtection="0"/>
    <xf numFmtId="37" fontId="59" fillId="0" borderId="94">
      <alignment horizontal="center"/>
    </xf>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10" fillId="129" borderId="0" applyNumberFormat="0" applyBorder="0" applyAlignment="0" applyProtection="0"/>
    <xf numFmtId="353" fontId="10" fillId="130" borderId="0" applyNumberFormat="0" applyBorder="0" applyAlignment="0" applyProtection="0"/>
    <xf numFmtId="353" fontId="10" fillId="17" borderId="0" applyNumberFormat="0" applyBorder="0" applyAlignment="0" applyProtection="0"/>
    <xf numFmtId="353" fontId="44" fillId="0" borderId="0" applyFont="0" applyFill="0" applyBorder="0" applyAlignment="0" applyProtection="0"/>
    <xf numFmtId="353" fontId="249" fillId="0" borderId="0" applyNumberFormat="0" applyFill="0" applyBorder="0" applyAlignment="0" applyProtection="0"/>
    <xf numFmtId="353" fontId="249" fillId="0" borderId="0" applyNumberFormat="0" applyFill="0" applyBorder="0" applyAlignment="0" applyProtection="0"/>
    <xf numFmtId="353" fontId="8" fillId="71" borderId="0" applyNumberFormat="0" applyBorder="0" applyAlignment="0" applyProtection="0"/>
    <xf numFmtId="353" fontId="8" fillId="71" borderId="0" applyNumberForma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117" fillId="0" borderId="33" applyNumberFormat="0" applyFill="0" applyAlignment="0" applyProtection="0"/>
    <xf numFmtId="353" fontId="117" fillId="0" borderId="33" applyNumberFormat="0" applyFill="0" applyAlignment="0" applyProtection="0"/>
    <xf numFmtId="353" fontId="120" fillId="0" borderId="124" applyNumberFormat="0" applyFill="0" applyAlignment="0" applyProtection="0"/>
    <xf numFmtId="353" fontId="120" fillId="0" borderId="124" applyNumberFormat="0" applyFill="0" applyAlignment="0" applyProtection="0"/>
    <xf numFmtId="353" fontId="123" fillId="0" borderId="125" applyNumberFormat="0" applyFill="0" applyAlignment="0" applyProtection="0"/>
    <xf numFmtId="353" fontId="123" fillId="0" borderId="125" applyNumberFormat="0" applyFill="0" applyAlignment="0" applyProtection="0"/>
    <xf numFmtId="353" fontId="123" fillId="0" borderId="0" applyNumberFormat="0" applyFill="0" applyBorder="0" applyAlignment="0" applyProtection="0"/>
    <xf numFmtId="353" fontId="123" fillId="0" borderId="0" applyNumberFormat="0" applyFill="0" applyBorder="0" applyAlignment="0" applyProtection="0"/>
    <xf numFmtId="353" fontId="137" fillId="14" borderId="123" applyNumberFormat="0" applyAlignment="0" applyProtection="0"/>
    <xf numFmtId="353" fontId="137" fillId="14" borderId="123" applyNumberFormat="0" applyAlignment="0" applyProtection="0"/>
    <xf numFmtId="353" fontId="140" fillId="34" borderId="0"/>
    <xf numFmtId="353" fontId="113" fillId="0" borderId="126" applyNumberFormat="0" applyFill="0" applyAlignment="0" applyProtection="0"/>
    <xf numFmtId="353" fontId="113" fillId="0" borderId="126" applyNumberFormat="0" applyFill="0" applyAlignment="0" applyProtection="0"/>
    <xf numFmtId="353" fontId="113" fillId="14" borderId="0" applyNumberFormat="0" applyBorder="0" applyAlignment="0" applyProtection="0"/>
    <xf numFmtId="353" fontId="113" fillId="14" borderId="0" applyNumberFormat="0" applyBorder="0" applyAlignment="0" applyProtection="0"/>
    <xf numFmtId="353" fontId="19" fillId="0" borderId="0"/>
    <xf numFmtId="353" fontId="19" fillId="0" borderId="0"/>
    <xf numFmtId="353" fontId="19" fillId="0" borderId="0"/>
    <xf numFmtId="353" fontId="19" fillId="0" borderId="0"/>
    <xf numFmtId="353" fontId="19" fillId="0" borderId="0"/>
    <xf numFmtId="353" fontId="4" fillId="0" borderId="0"/>
    <xf numFmtId="353" fontId="4" fillId="0" borderId="0"/>
    <xf numFmtId="353" fontId="4" fillId="0" borderId="0"/>
    <xf numFmtId="353" fontId="4" fillId="0" borderId="0"/>
    <xf numFmtId="0" fontId="2"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xf numFmtId="353" fontId="8" fillId="0" borderId="0" applyFill="0" applyBorder="0" applyAlignment="0" applyProtection="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2"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23" fillId="0" borderId="0"/>
    <xf numFmtId="353" fontId="1" fillId="0" borderId="0"/>
    <xf numFmtId="353" fontId="4"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1" fillId="0" borderId="0"/>
    <xf numFmtId="353" fontId="1" fillId="0" borderId="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8" fillId="0" borderId="0" applyFill="0" applyBorder="0" applyAlignment="0" applyProtection="0"/>
    <xf numFmtId="353" fontId="19"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7" fillId="0" borderId="0">
      <alignment vertical="top"/>
    </xf>
    <xf numFmtId="353" fontId="101" fillId="0" borderId="0" applyFill="0" applyBorder="0">
      <protection locked="0"/>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3" fontId="192" fillId="0" borderId="0"/>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30"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9" borderId="30">
      <alignment horizontal="right" vertical="center"/>
      <protection locked="0"/>
    </xf>
    <xf numFmtId="353"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3" borderId="53" applyNumberFormat="0">
      <protection locked="0"/>
    </xf>
    <xf numFmtId="353" fontId="4" fillId="33" borderId="30"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353" fontId="48" fillId="109" borderId="30"/>
    <xf numFmtId="4" fontId="254" fillId="33" borderId="123" applyNumberFormat="0" applyProtection="0">
      <alignment horizontal="right" vertical="center"/>
    </xf>
    <xf numFmtId="353" fontId="18" fillId="0" borderId="0" applyNumberFormat="0" applyFill="0" applyBorder="0" applyAlignment="0" applyProtection="0"/>
    <xf numFmtId="353" fontId="4" fillId="0" borderId="0" applyFont="0" applyFill="0" applyBorder="0" applyAlignment="0" applyProtection="0"/>
    <xf numFmtId="37" fontId="59" fillId="0" borderId="131" applyNumberFormat="0"/>
    <xf numFmtId="353" fontId="220" fillId="0" borderId="58" applyNumberFormat="0" applyAlignment="0" applyProtection="0"/>
    <xf numFmtId="353" fontId="18" fillId="0" borderId="0" applyNumberFormat="0" applyFill="0" applyBorder="0" applyAlignment="0" applyProtection="0"/>
    <xf numFmtId="353" fontId="18" fillId="0" borderId="0" applyNumberFormat="0" applyFill="0" applyBorder="0" applyAlignment="0" applyProtection="0"/>
    <xf numFmtId="210" fontId="59" fillId="0" borderId="32" applyFill="0"/>
    <xf numFmtId="353" fontId="10" fillId="0" borderId="132" applyNumberFormat="0" applyFill="0" applyAlignment="0" applyProtection="0"/>
    <xf numFmtId="353" fontId="10" fillId="0" borderId="132" applyNumberFormat="0" applyFill="0" applyAlignment="0" applyProtection="0"/>
    <xf numFmtId="353" fontId="255" fillId="0" borderId="0" applyNumberFormat="0" applyFill="0" applyBorder="0" applyAlignment="0" applyProtection="0"/>
    <xf numFmtId="353" fontId="255" fillId="0" borderId="0" applyNumberFormat="0" applyFill="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3" fontId="48" fillId="30" borderId="128" applyNumberFormat="0" applyProtection="0">
      <alignment horizontal="left" vertical="top"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248" fillId="128"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3" fillId="0" borderId="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3"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2" borderId="123" applyNumberFormat="0" applyProtection="0">
      <alignment horizontal="left" vertical="center"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3"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8" fillId="30" borderId="123" applyNumberFormat="0" applyProtection="0">
      <alignment horizontal="left" vertical="center" indent="1"/>
    </xf>
    <xf numFmtId="353" fontId="248" fillId="128" borderId="123" applyNumberFormat="0" applyAlignment="0" applyProtection="0"/>
    <xf numFmtId="353"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3" fontId="248" fillId="128" borderId="123" applyNumberFormat="0" applyAlignment="0" applyProtection="0"/>
    <xf numFmtId="353" fontId="248" fillId="128"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3" fillId="0" borderId="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210" fontId="59" fillId="0" borderId="32" applyFill="0"/>
    <xf numFmtId="353" fontId="23" fillId="0" borderId="0"/>
    <xf numFmtId="353" fontId="48" fillId="30" borderId="128" applyNumberFormat="0" applyProtection="0">
      <alignment horizontal="left" vertical="top"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248" fillId="128"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3" fillId="0" borderId="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3"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2" borderId="123" applyNumberFormat="0" applyProtection="0">
      <alignment horizontal="left" vertical="center"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3"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8" fillId="30" borderId="123" applyNumberFormat="0" applyProtection="0">
      <alignment horizontal="left" vertical="center" indent="1"/>
    </xf>
    <xf numFmtId="353" fontId="248" fillId="128" borderId="123" applyNumberFormat="0" applyAlignment="0" applyProtection="0"/>
    <xf numFmtId="353"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3"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4" fillId="32" borderId="128" applyNumberFormat="0" applyProtection="0">
      <alignment horizontal="left" vertical="top" indent="1"/>
    </xf>
    <xf numFmtId="353" fontId="48" fillId="32" borderId="123" applyNumberFormat="0" applyProtection="0">
      <alignment horizontal="left" vertical="center" indent="1"/>
    </xf>
    <xf numFmtId="353" fontId="48" fillId="31" borderId="128" applyNumberFormat="0" applyProtection="0">
      <alignment horizontal="left" vertical="top" indent="1"/>
    </xf>
    <xf numFmtId="353" fontId="48" fillId="13" borderId="123" applyNumberFormat="0" applyFont="0" applyAlignment="0" applyProtection="0"/>
    <xf numFmtId="353" fontId="48" fillId="30"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23" fillId="0" borderId="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353" fontId="88" fillId="31" borderId="130" applyBorder="0"/>
    <xf numFmtId="353" fontId="48" fillId="13" borderId="123" applyNumberFormat="0" applyFont="0" applyAlignment="0" applyProtection="0"/>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252" fillId="19" borderId="128" applyNumberFormat="0" applyProtection="0">
      <alignment horizontal="left" vertical="top" indent="1"/>
    </xf>
    <xf numFmtId="353" fontId="48" fillId="30" borderId="123" applyNumberFormat="0" applyProtection="0">
      <alignment horizontal="left" vertical="center" indent="1"/>
    </xf>
    <xf numFmtId="210" fontId="59" fillId="0" borderId="32" applyFill="0"/>
    <xf numFmtId="353" fontId="248" fillId="128" borderId="123" applyNumberFormat="0" applyAlignment="0" applyProtection="0"/>
    <xf numFmtId="353" fontId="248" fillId="128" borderId="123" applyNumberForma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164" fontId="2" fillId="0" borderId="0" applyFont="0" applyFill="0" applyBorder="0" applyAlignment="0" applyProtection="0"/>
    <xf numFmtId="353" fontId="48" fillId="30" borderId="128" applyNumberFormat="0" applyProtection="0">
      <alignment horizontal="left" vertical="top" indent="1"/>
    </xf>
    <xf numFmtId="164" fontId="1" fillId="0" borderId="0" applyFont="0" applyFill="0" applyBorder="0" applyAlignment="0" applyProtection="0"/>
    <xf numFmtId="353" fontId="88" fillId="31" borderId="130" applyBorder="0"/>
    <xf numFmtId="4" fontId="48" fillId="24" borderId="123" applyNumberFormat="0" applyProtection="0">
      <alignment horizontal="right" vertical="center"/>
    </xf>
    <xf numFmtId="353"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3" fontId="48" fillId="61" borderId="123" applyNumberFormat="0" applyProtection="0">
      <alignment horizontal="left" vertical="center" indent="1"/>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34" borderId="128" applyNumberFormat="0" applyProtection="0">
      <alignment vertical="center"/>
    </xf>
    <xf numFmtId="353" fontId="88" fillId="31" borderId="130" applyBorder="0"/>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210" fontId="59" fillId="0" borderId="32" applyFill="0"/>
    <xf numFmtId="353" fontId="48" fillId="83" borderId="123" applyNumberFormat="0" applyProtection="0">
      <alignment horizontal="left" vertical="center" indent="1"/>
    </xf>
    <xf numFmtId="4" fontId="48" fillId="23" borderId="123" applyNumberFormat="0" applyProtection="0">
      <alignment horizontal="right" vertical="center"/>
    </xf>
    <xf numFmtId="353" fontId="248" fillId="128" borderId="123" applyNumberForma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 fillId="30" borderId="128" applyNumberFormat="0" applyProtection="0">
      <alignment horizontal="left" vertical="center" indent="1"/>
    </xf>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88" fillId="31" borderId="130" applyBorder="0"/>
    <xf numFmtId="353" fontId="48" fillId="32"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248" fillId="128"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252" fillId="19"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164" fontId="8" fillId="0" borderId="0" applyFont="0" applyFill="0" applyBorder="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4" fontId="48" fillId="0" borderId="123" applyNumberFormat="0" applyProtection="0">
      <alignment horizontal="right" vertical="center"/>
    </xf>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3"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3" fontId="248" fillId="128" borderId="123" applyNumberFormat="0" applyAlignment="0" applyProtection="0"/>
    <xf numFmtId="353" fontId="248" fillId="128" borderId="123" applyNumberForma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 fillId="30" borderId="128" applyNumberFormat="0" applyProtection="0">
      <alignment horizontal="left" vertical="center" indent="1"/>
    </xf>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88" fillId="31" borderId="130" applyBorder="0"/>
    <xf numFmtId="353" fontId="48" fillId="32"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248" fillId="128"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3" fontId="48" fillId="30" borderId="128" applyNumberFormat="0" applyProtection="0">
      <alignment horizontal="left" vertical="top" indent="1"/>
    </xf>
    <xf numFmtId="353" fontId="252" fillId="19" borderId="128" applyNumberFormat="0" applyProtection="0">
      <alignment horizontal="left" vertical="top" indent="1"/>
    </xf>
    <xf numFmtId="353" fontId="48" fillId="32" borderId="128" applyNumberFormat="0" applyProtection="0">
      <alignment horizontal="left" vertical="top" indent="1"/>
    </xf>
    <xf numFmtId="353" fontId="48" fillId="31" borderId="128" applyNumberFormat="0" applyProtection="0">
      <alignment horizontal="left" vertical="top" indent="1"/>
    </xf>
    <xf numFmtId="4" fontId="48" fillId="27" borderId="123" applyNumberFormat="0" applyProtection="0">
      <alignment horizontal="right" vertical="center"/>
    </xf>
    <xf numFmtId="353" fontId="48" fillId="19" borderId="128" applyNumberFormat="0" applyProtection="0">
      <alignment horizontal="left" vertical="top" indent="1"/>
    </xf>
    <xf numFmtId="164" fontId="7" fillId="0" borderId="0" applyFont="0" applyFill="0" applyBorder="0" applyAlignment="0" applyProtection="0"/>
    <xf numFmtId="353" fontId="48" fillId="19"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4" fontId="48" fillId="64" borderId="123" applyNumberFormat="0" applyProtection="0">
      <alignment horizontal="left" vertical="center" indent="1"/>
    </xf>
    <xf numFmtId="353" fontId="48" fillId="32" borderId="128" applyNumberFormat="0" applyProtection="0">
      <alignment horizontal="left" vertical="top" indent="1"/>
    </xf>
    <xf numFmtId="353" fontId="10" fillId="0" borderId="132" applyNumberFormat="0" applyFill="0" applyAlignment="0" applyProtection="0"/>
    <xf numFmtId="353" fontId="10" fillId="0" borderId="132" applyNumberFormat="0" applyFill="0" applyAlignment="0" applyProtection="0"/>
    <xf numFmtId="4" fontId="48" fillId="28" borderId="123" applyNumberFormat="0" applyProtection="0">
      <alignment horizontal="right" vertical="center"/>
    </xf>
    <xf numFmtId="353" fontId="48" fillId="30" borderId="128" applyNumberFormat="0" applyProtection="0">
      <alignment horizontal="left" vertical="top" indent="1"/>
    </xf>
    <xf numFmtId="37" fontId="59" fillId="0" borderId="131" applyNumberFormat="0"/>
    <xf numFmtId="353" fontId="48" fillId="19" borderId="128" applyNumberFormat="0" applyProtection="0">
      <alignment horizontal="left" vertical="top" indent="1"/>
    </xf>
    <xf numFmtId="353" fontId="251" fillId="18" borderId="128" applyNumberFormat="0" applyProtection="0">
      <alignment horizontal="left" vertical="top" indent="1"/>
    </xf>
    <xf numFmtId="353"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88" fillId="31" borderId="130" applyBorder="0"/>
    <xf numFmtId="4" fontId="48" fillId="25" borderId="123" applyNumberFormat="0" applyProtection="0">
      <alignment horizontal="right" vertical="center"/>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3" fontId="179" fillId="128" borderId="127" applyNumberFormat="0" applyAlignment="0" applyProtection="0"/>
    <xf numFmtId="353" fontId="48" fillId="61" borderId="123" applyNumberFormat="0" applyProtection="0">
      <alignment horizontal="left" vertical="center" indent="1"/>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131" borderId="123" applyNumberFormat="0" applyProtection="0">
      <alignment horizontal="right" vertical="center"/>
    </xf>
    <xf numFmtId="353" fontId="48" fillId="13" borderId="123" applyNumberFormat="0" applyFont="0" applyAlignment="0" applyProtection="0"/>
    <xf numFmtId="4" fontId="48" fillId="22" borderId="129"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3" fontId="137" fillId="14" borderId="123" applyNumberFormat="0" applyAlignment="0" applyProtection="0"/>
    <xf numFmtId="353" fontId="48" fillId="61" borderId="123" applyNumberFormat="0" applyProtection="0">
      <alignment horizontal="left" vertical="center" indent="1"/>
    </xf>
    <xf numFmtId="353" fontId="48" fillId="13" borderId="123" applyNumberFormat="0" applyFont="0" applyAlignment="0" applyProtection="0"/>
    <xf numFmtId="353"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3" fontId="48" fillId="32" borderId="123" applyNumberFormat="0" applyProtection="0">
      <alignment horizontal="left" vertical="center" indent="1"/>
    </xf>
    <xf numFmtId="353" fontId="48" fillId="13" borderId="123" applyNumberFormat="0" applyFont="0" applyAlignment="0" applyProtection="0"/>
    <xf numFmtId="353" fontId="88" fillId="31" borderId="130" applyBorder="0"/>
    <xf numFmtId="353" fontId="10" fillId="0" borderId="132" applyNumberFormat="0" applyFill="0" applyAlignment="0" applyProtection="0"/>
    <xf numFmtId="164" fontId="7" fillId="0" borderId="0" applyFont="0" applyFill="0" applyBorder="0" applyAlignment="0" applyProtection="0"/>
    <xf numFmtId="353" fontId="248" fillId="128" borderId="123" applyNumberFormat="0" applyAlignment="0" applyProtection="0"/>
    <xf numFmtId="4" fontId="48" fillId="24" borderId="123" applyNumberFormat="0" applyProtection="0">
      <alignment horizontal="right" vertical="center"/>
    </xf>
    <xf numFmtId="353" fontId="48" fillId="13" borderId="123" applyNumberFormat="0" applyFon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353" fontId="252" fillId="19" borderId="128" applyNumberFormat="0" applyProtection="0">
      <alignment horizontal="left" vertical="top" indent="1"/>
    </xf>
    <xf numFmtId="353" fontId="10" fillId="0" borderId="132" applyNumberFormat="0" applyFill="0" applyAlignment="0" applyProtection="0"/>
    <xf numFmtId="353" fontId="48" fillId="13" borderId="123" applyNumberFormat="0" applyFont="0" applyAlignment="0" applyProtection="0"/>
    <xf numFmtId="4" fontId="250" fillId="45" borderId="123" applyNumberFormat="0" applyProtection="0">
      <alignment vertical="center"/>
    </xf>
    <xf numFmtId="353" fontId="48" fillId="83" borderId="123" applyNumberFormat="0" applyProtection="0">
      <alignment horizontal="left" vertical="center" indent="1"/>
    </xf>
    <xf numFmtId="37" fontId="59" fillId="0" borderId="131" applyNumberFormat="0"/>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8" fillId="19" borderId="128" applyNumberFormat="0" applyProtection="0">
      <alignment horizontal="left" vertical="top" indent="1"/>
    </xf>
    <xf numFmtId="353" fontId="4" fillId="32" borderId="128" applyNumberFormat="0" applyProtection="0">
      <alignment horizontal="left" vertical="top" indent="1"/>
    </xf>
    <xf numFmtId="353" fontId="48" fillId="19" borderId="128" applyNumberFormat="0" applyProtection="0">
      <alignment horizontal="left" vertical="top" indent="1"/>
    </xf>
    <xf numFmtId="353"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3" fontId="48" fillId="30" borderId="128" applyNumberFormat="0" applyProtection="0">
      <alignment horizontal="left" vertical="top" indent="1"/>
    </xf>
    <xf numFmtId="353"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3"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3"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3"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2" borderId="123" applyNumberFormat="0" applyProtection="0">
      <alignment horizontal="left" vertical="center"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3" fontId="4" fillId="19" borderId="128" applyNumberFormat="0" applyProtection="0">
      <alignment horizontal="left" vertical="top" indent="1"/>
    </xf>
    <xf numFmtId="353" fontId="137" fillId="14" borderId="123" applyNumberFormat="0" applyAlignment="0" applyProtection="0"/>
    <xf numFmtId="353" fontId="10" fillId="0" borderId="132" applyNumberFormat="0" applyFill="0" applyAlignment="0" applyProtection="0"/>
    <xf numFmtId="353"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137" fillId="14" borderId="123" applyNumberFormat="0" applyAlignment="0" applyProtection="0"/>
    <xf numFmtId="353" fontId="48" fillId="13" borderId="123" applyNumberFormat="0" applyFont="0" applyAlignment="0" applyProtection="0"/>
    <xf numFmtId="353" fontId="179" fillId="128" borderId="127" applyNumberFormat="0" applyAlignment="0" applyProtection="0"/>
    <xf numFmtId="4" fontId="252" fillId="34" borderId="128" applyNumberFormat="0" applyProtection="0">
      <alignment vertical="center"/>
    </xf>
    <xf numFmtId="353" fontId="48" fillId="32" borderId="128" applyNumberFormat="0" applyProtection="0">
      <alignment horizontal="left" vertical="top" indent="1"/>
    </xf>
    <xf numFmtId="353" fontId="248" fillId="128" borderId="123" applyNumberFormat="0" applyAlignment="0" applyProtection="0"/>
    <xf numFmtId="353" fontId="48" fillId="13" borderId="123" applyNumberFormat="0" applyFont="0" applyAlignment="0" applyProtection="0"/>
    <xf numFmtId="4" fontId="48" fillId="0" borderId="123" applyNumberFormat="0" applyProtection="0">
      <alignment horizontal="right" vertical="center"/>
    </xf>
    <xf numFmtId="353" fontId="48" fillId="31" borderId="128" applyNumberFormat="0" applyProtection="0">
      <alignment horizontal="left" vertical="top"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353" fontId="137" fillId="14" borderId="123" applyNumberFormat="0" applyAlignment="0" applyProtection="0"/>
    <xf numFmtId="353" fontId="48" fillId="19" borderId="128" applyNumberFormat="0" applyProtection="0">
      <alignment horizontal="left" vertical="top" indent="1"/>
    </xf>
    <xf numFmtId="353" fontId="48" fillId="30" borderId="128" applyNumberFormat="0" applyProtection="0">
      <alignment horizontal="left" vertical="top" indent="1"/>
    </xf>
    <xf numFmtId="353"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3" fontId="48" fillId="13" borderId="123" applyNumberFormat="0" applyFont="0" applyAlignment="0" applyProtection="0"/>
    <xf numFmtId="4" fontId="48" fillId="64"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3" borderId="123" applyNumberFormat="0" applyFont="0" applyAlignment="0" applyProtection="0"/>
    <xf numFmtId="4" fontId="48" fillId="24" borderId="123" applyNumberFormat="0" applyProtection="0">
      <alignment horizontal="right" vertical="center"/>
    </xf>
    <xf numFmtId="353" fontId="48" fillId="32" borderId="128" applyNumberFormat="0" applyProtection="0">
      <alignment horizontal="left" vertical="top" indent="1"/>
    </xf>
    <xf numFmtId="4" fontId="48" fillId="64" borderId="123" applyNumberFormat="0" applyProtection="0">
      <alignment horizontal="left" vertical="center" indent="1"/>
    </xf>
    <xf numFmtId="353" fontId="48" fillId="31" borderId="128" applyNumberFormat="0" applyProtection="0">
      <alignment horizontal="left" vertical="top" indent="1"/>
    </xf>
    <xf numFmtId="353" fontId="248" fillId="128" borderId="123" applyNumberFormat="0" applyAlignment="0" applyProtection="0"/>
    <xf numFmtId="4" fontId="252" fillId="61" borderId="128" applyNumberFormat="0" applyProtection="0">
      <alignment horizontal="left" vertical="center" indent="1"/>
    </xf>
    <xf numFmtId="353" fontId="10" fillId="0" borderId="132" applyNumberFormat="0" applyFill="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4" fontId="48" fillId="64" borderId="123" applyNumberFormat="0" applyProtection="0">
      <alignment horizontal="left" vertical="center" indent="1"/>
    </xf>
    <xf numFmtId="353" fontId="248" fillId="128" borderId="123" applyNumberFormat="0" applyAlignment="0" applyProtection="0"/>
    <xf numFmtId="4" fontId="254" fillId="33" borderId="123" applyNumberFormat="0" applyProtection="0">
      <alignment horizontal="right" vertical="center"/>
    </xf>
    <xf numFmtId="353" fontId="88" fillId="31" borderId="130" applyBorder="0"/>
    <xf numFmtId="353" fontId="48" fillId="13" borderId="123" applyNumberFormat="0" applyFont="0" applyAlignment="0" applyProtection="0"/>
    <xf numFmtId="4" fontId="48" fillId="64" borderId="123" applyNumberFormat="0" applyProtection="0">
      <alignment horizontal="left" vertical="center"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3" borderId="123" applyNumberFormat="0" applyFont="0" applyAlignment="0" applyProtection="0"/>
    <xf numFmtId="353" fontId="179" fillId="128" borderId="127" applyNumberFormat="0" applyAlignment="0" applyProtection="0"/>
    <xf numFmtId="4" fontId="48" fillId="20" borderId="123" applyNumberFormat="0" applyProtection="0">
      <alignment horizontal="right" vertical="center"/>
    </xf>
    <xf numFmtId="353" fontId="48" fillId="31" borderId="128" applyNumberFormat="0" applyProtection="0">
      <alignment horizontal="left" vertical="top" indent="1"/>
    </xf>
    <xf numFmtId="353" fontId="88" fillId="31" borderId="130" applyBorder="0"/>
    <xf numFmtId="4" fontId="48" fillId="28" borderId="123" applyNumberFormat="0" applyProtection="0">
      <alignment horizontal="right" vertical="center"/>
    </xf>
    <xf numFmtId="353" fontId="48" fillId="31" borderId="128" applyNumberFormat="0" applyProtection="0">
      <alignment horizontal="left" vertical="top" indent="1"/>
    </xf>
    <xf numFmtId="353" fontId="48" fillId="30" borderId="128" applyNumberFormat="0" applyProtection="0">
      <alignment horizontal="left" vertical="top" indent="1"/>
    </xf>
    <xf numFmtId="4" fontId="48" fillId="26" borderId="123" applyNumberFormat="0" applyProtection="0">
      <alignment horizontal="right" vertical="center"/>
    </xf>
    <xf numFmtId="353" fontId="48" fillId="32" borderId="128" applyNumberFormat="0" applyProtection="0">
      <alignment horizontal="left" vertical="top" indent="1"/>
    </xf>
    <xf numFmtId="353" fontId="4" fillId="32" borderId="128" applyNumberFormat="0" applyProtection="0">
      <alignment horizontal="left" vertical="center" indent="1"/>
    </xf>
    <xf numFmtId="4" fontId="48" fillId="0" borderId="123" applyNumberFormat="0" applyProtection="0">
      <alignment horizontal="right" vertical="center"/>
    </xf>
    <xf numFmtId="353" fontId="48" fillId="19" borderId="128" applyNumberFormat="0" applyProtection="0">
      <alignment horizontal="left" vertical="top" indent="1"/>
    </xf>
    <xf numFmtId="353" fontId="248" fillId="128" borderId="123" applyNumberFormat="0" applyAlignment="0" applyProtection="0"/>
    <xf numFmtId="353"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4" fontId="254" fillId="33" borderId="123" applyNumberFormat="0" applyProtection="0">
      <alignment horizontal="right" vertical="center"/>
    </xf>
    <xf numFmtId="353" fontId="248" fillId="128"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3" fontId="48" fillId="13" borderId="123" applyNumberFormat="0" applyFont="0" applyAlignment="0" applyProtection="0"/>
    <xf numFmtId="353" fontId="248" fillId="128" borderId="123" applyNumberFormat="0" applyAlignment="0" applyProtection="0"/>
    <xf numFmtId="353" fontId="252" fillId="34" borderId="128" applyNumberFormat="0" applyProtection="0">
      <alignment horizontal="left" vertical="top" indent="1"/>
    </xf>
    <xf numFmtId="353" fontId="4" fillId="30" borderId="128" applyNumberFormat="0" applyProtection="0">
      <alignment horizontal="left" vertical="center" indent="1"/>
    </xf>
    <xf numFmtId="4" fontId="254" fillId="33" borderId="123" applyNumberFormat="0" applyProtection="0">
      <alignment horizontal="right" vertical="center"/>
    </xf>
    <xf numFmtId="353" fontId="48" fillId="30" borderId="123" applyNumberFormat="0" applyProtection="0">
      <alignment horizontal="left" vertical="center" indent="1"/>
    </xf>
    <xf numFmtId="353" fontId="48" fillId="83" borderId="123" applyNumberFormat="0" applyProtection="0">
      <alignment horizontal="left" vertical="center" indent="1"/>
    </xf>
    <xf numFmtId="4" fontId="48" fillId="20" borderId="123" applyNumberFormat="0" applyProtection="0">
      <alignment horizontal="right" vertical="center"/>
    </xf>
    <xf numFmtId="353" fontId="48" fillId="19" borderId="128" applyNumberFormat="0" applyProtection="0">
      <alignment horizontal="left" vertical="top" indent="1"/>
    </xf>
    <xf numFmtId="353" fontId="48" fillId="83" borderId="123" applyNumberFormat="0" applyProtection="0">
      <alignment horizontal="left" vertical="center" indent="1"/>
    </xf>
    <xf numFmtId="353" fontId="48" fillId="13" borderId="123" applyNumberFormat="0" applyFon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353" fontId="48" fillId="13" borderId="123" applyNumberFormat="0" applyFont="0" applyAlignment="0" applyProtection="0"/>
    <xf numFmtId="4" fontId="48" fillId="23" borderId="123" applyNumberFormat="0" applyProtection="0">
      <alignment horizontal="right" vertical="center"/>
    </xf>
    <xf numFmtId="353" fontId="48" fillId="32" borderId="123" applyNumberFormat="0" applyProtection="0">
      <alignment horizontal="left" vertical="center" indent="1"/>
    </xf>
    <xf numFmtId="353" fontId="48" fillId="30" borderId="128" applyNumberFormat="0" applyProtection="0">
      <alignment horizontal="left" vertical="top" indent="1"/>
    </xf>
    <xf numFmtId="4" fontId="48" fillId="19" borderId="123" applyNumberFormat="0" applyProtection="0">
      <alignment horizontal="right" vertical="center"/>
    </xf>
    <xf numFmtId="353" fontId="252" fillId="34" borderId="128" applyNumberFormat="0" applyProtection="0">
      <alignment horizontal="left" vertical="top" indent="1"/>
    </xf>
    <xf numFmtId="353" fontId="10" fillId="0" borderId="132" applyNumberFormat="0" applyFill="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37" fontId="59" fillId="0" borderId="131" applyNumberFormat="0"/>
    <xf numFmtId="353" fontId="48" fillId="19" borderId="128" applyNumberFormat="0" applyProtection="0">
      <alignment horizontal="left" vertical="top" indent="1"/>
    </xf>
    <xf numFmtId="353" fontId="48" fillId="13" borderId="123" applyNumberFormat="0" applyFont="0" applyAlignment="0" applyProtection="0"/>
    <xf numFmtId="353" fontId="48" fillId="30" borderId="128" applyNumberFormat="0" applyProtection="0">
      <alignment horizontal="left" vertical="top" indent="1"/>
    </xf>
    <xf numFmtId="353" fontId="248" fillId="128" borderId="123" applyNumberFormat="0" applyAlignment="0" applyProtection="0"/>
    <xf numFmtId="353" fontId="48" fillId="31" borderId="128" applyNumberFormat="0" applyProtection="0">
      <alignment horizontal="left" vertical="top" indent="1"/>
    </xf>
    <xf numFmtId="353"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3" fontId="48" fillId="13" borderId="123" applyNumberFormat="0" applyFont="0" applyAlignment="0" applyProtection="0"/>
    <xf numFmtId="353" fontId="48" fillId="31" borderId="128" applyNumberFormat="0" applyProtection="0">
      <alignment horizontal="left" vertical="top" indent="1"/>
    </xf>
    <xf numFmtId="4" fontId="48" fillId="20" borderId="123" applyNumberFormat="0" applyProtection="0">
      <alignment horizontal="right" vertical="center"/>
    </xf>
    <xf numFmtId="353" fontId="137" fillId="14" borderId="123" applyNumberFormat="0" applyAlignment="0" applyProtection="0"/>
    <xf numFmtId="4" fontId="250" fillId="50" borderId="123" applyNumberFormat="0" applyProtection="0">
      <alignment horizontal="right" vertical="center"/>
    </xf>
    <xf numFmtId="353" fontId="48" fillId="31" borderId="128" applyNumberFormat="0" applyProtection="0">
      <alignment horizontal="left" vertical="top" indent="1"/>
    </xf>
    <xf numFmtId="4" fontId="253" fillId="35" borderId="129"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4" fontId="48" fillId="30" borderId="129" applyNumberFormat="0" applyProtection="0">
      <alignment horizontal="left" vertical="center" indent="1"/>
    </xf>
    <xf numFmtId="353" fontId="252" fillId="34" borderId="128" applyNumberFormat="0" applyProtection="0">
      <alignment horizontal="left" vertical="top" indent="1"/>
    </xf>
    <xf numFmtId="353"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3" fontId="48" fillId="13" borderId="123" applyNumberFormat="0" applyFont="0" applyAlignment="0" applyProtection="0"/>
    <xf numFmtId="353" fontId="48" fillId="30" borderId="128" applyNumberFormat="0" applyProtection="0">
      <alignment horizontal="left" vertical="top" indent="1"/>
    </xf>
    <xf numFmtId="353"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8" fillId="30" borderId="123" applyNumberFormat="0" applyProtection="0">
      <alignment horizontal="left" vertical="center" indent="1"/>
    </xf>
    <xf numFmtId="353" fontId="248" fillId="128" borderId="123" applyNumberFormat="0" applyAlignment="0" applyProtection="0"/>
    <xf numFmtId="353"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3"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4" fillId="32" borderId="128" applyNumberFormat="0" applyProtection="0">
      <alignment horizontal="left" vertical="top" indent="1"/>
    </xf>
    <xf numFmtId="353" fontId="48" fillId="32" borderId="123" applyNumberFormat="0" applyProtection="0">
      <alignment horizontal="left" vertical="center" indent="1"/>
    </xf>
    <xf numFmtId="353" fontId="48" fillId="31" borderId="128" applyNumberFormat="0" applyProtection="0">
      <alignment horizontal="left" vertical="top" indent="1"/>
    </xf>
    <xf numFmtId="353" fontId="48" fillId="13" borderId="123" applyNumberFormat="0" applyFont="0" applyAlignment="0" applyProtection="0"/>
    <xf numFmtId="353" fontId="48" fillId="30"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353" fontId="88" fillId="31" borderId="130" applyBorder="0"/>
    <xf numFmtId="353" fontId="48" fillId="13" borderId="123" applyNumberFormat="0" applyFont="0" applyAlignment="0" applyProtection="0"/>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3" fontId="10" fillId="0" borderId="132" applyNumberFormat="0" applyFill="0" applyAlignment="0" applyProtection="0"/>
    <xf numFmtId="353" fontId="48" fillId="32" borderId="128" applyNumberFormat="0" applyProtection="0">
      <alignment horizontal="left" vertical="top" indent="1"/>
    </xf>
    <xf numFmtId="353" fontId="48" fillId="19" borderId="128" applyNumberFormat="0" applyProtection="0">
      <alignment horizontal="left" vertical="top" indent="1"/>
    </xf>
    <xf numFmtId="4" fontId="48" fillId="23" borderId="123" applyNumberFormat="0" applyProtection="0">
      <alignment horizontal="right" vertical="center"/>
    </xf>
    <xf numFmtId="353" fontId="48" fillId="83"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353"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3" fontId="10" fillId="0" borderId="132" applyNumberFormat="0" applyFill="0" applyAlignment="0" applyProtection="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4" fillId="30" borderId="128" applyNumberFormat="0" applyProtection="0">
      <alignment horizontal="left" vertical="center" indent="1"/>
    </xf>
    <xf numFmtId="353" fontId="248" fillId="128" borderId="123" applyNumberFormat="0" applyAlignment="0" applyProtection="0"/>
    <xf numFmtId="353" fontId="48" fillId="30" borderId="123" applyNumberFormat="0" applyProtection="0">
      <alignment horizontal="left" vertical="center" indent="1"/>
    </xf>
    <xf numFmtId="353" fontId="48" fillId="32" borderId="128" applyNumberFormat="0" applyProtection="0">
      <alignment horizontal="left" vertical="top" indent="1"/>
    </xf>
    <xf numFmtId="37" fontId="59" fillId="0" borderId="131" applyNumberFormat="0"/>
    <xf numFmtId="353"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3" fontId="48" fillId="13" borderId="123" applyNumberFormat="0" applyFont="0" applyAlignment="0" applyProtection="0"/>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3" fontId="10" fillId="0" borderId="132" applyNumberFormat="0" applyFill="0" applyAlignment="0" applyProtection="0"/>
    <xf numFmtId="353"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3" fontId="10" fillId="0" borderId="132" applyNumberFormat="0" applyFill="0" applyAlignment="0" applyProtection="0"/>
    <xf numFmtId="353" fontId="4" fillId="30" borderId="128" applyNumberFormat="0" applyProtection="0">
      <alignment horizontal="left" vertical="center" indent="1"/>
    </xf>
    <xf numFmtId="353" fontId="48" fillId="19" borderId="128" applyNumberFormat="0" applyProtection="0">
      <alignment horizontal="left" vertical="top" indent="1"/>
    </xf>
    <xf numFmtId="353" fontId="248" fillId="128" borderId="123" applyNumberFormat="0" applyAlignment="0" applyProtection="0"/>
    <xf numFmtId="4" fontId="48" fillId="24" borderId="123" applyNumberFormat="0" applyProtection="0">
      <alignment horizontal="right" vertical="center"/>
    </xf>
    <xf numFmtId="210" fontId="59" fillId="0" borderId="32" applyFill="0"/>
    <xf numFmtId="353" fontId="48" fillId="13" borderId="123" applyNumberFormat="0" applyFont="0" applyAlignment="0" applyProtection="0"/>
    <xf numFmtId="353" fontId="252" fillId="34" borderId="128" applyNumberFormat="0" applyProtection="0">
      <alignment horizontal="left" vertical="top" indent="1"/>
    </xf>
    <xf numFmtId="4" fontId="252" fillId="34" borderId="128" applyNumberFormat="0" applyProtection="0">
      <alignment vertical="center"/>
    </xf>
    <xf numFmtId="353" fontId="48" fillId="13" borderId="123" applyNumberFormat="0" applyFont="0" applyAlignment="0" applyProtection="0"/>
    <xf numFmtId="353" fontId="48" fillId="13" borderId="123" applyNumberFormat="0" applyFont="0" applyAlignment="0" applyProtection="0"/>
    <xf numFmtId="353"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137" fillId="14" borderId="123" applyNumberFormat="0" applyAlignment="0" applyProtection="0"/>
    <xf numFmtId="37" fontId="59" fillId="0" borderId="131" applyNumberFormat="0"/>
    <xf numFmtId="353" fontId="48" fillId="30" borderId="123" applyNumberFormat="0" applyProtection="0">
      <alignment horizontal="left" vertical="center"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4" fontId="48" fillId="29" borderId="129" applyNumberFormat="0" applyProtection="0">
      <alignment horizontal="left" vertical="center" indent="1"/>
    </xf>
    <xf numFmtId="353"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3" fontId="48" fillId="30" borderId="128" applyNumberFormat="0" applyProtection="0">
      <alignment horizontal="left" vertical="top" indent="1"/>
    </xf>
    <xf numFmtId="4" fontId="252" fillId="61" borderId="128" applyNumberFormat="0" applyProtection="0">
      <alignment horizontal="left" vertical="center" indent="1"/>
    </xf>
    <xf numFmtId="353" fontId="4" fillId="30" borderId="128" applyNumberFormat="0" applyProtection="0">
      <alignment horizontal="left" vertical="center" indent="1"/>
    </xf>
    <xf numFmtId="4" fontId="48" fillId="64" borderId="123" applyNumberFormat="0" applyProtection="0">
      <alignment horizontal="left" vertical="center" indent="1"/>
    </xf>
    <xf numFmtId="353" fontId="48" fillId="32" borderId="123" applyNumberFormat="0" applyProtection="0">
      <alignment horizontal="left" vertical="center"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3"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3" fontId="48" fillId="61" borderId="123" applyNumberFormat="0" applyProtection="0">
      <alignment horizontal="left" vertical="center" indent="1"/>
    </xf>
    <xf numFmtId="210" fontId="59" fillId="0" borderId="32" applyFill="0"/>
    <xf numFmtId="353" fontId="48" fillId="32" borderId="128" applyNumberFormat="0" applyProtection="0">
      <alignment horizontal="left" vertical="top" indent="1"/>
    </xf>
    <xf numFmtId="4" fontId="48" fillId="19"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353" fontId="179" fillId="128" borderId="127" applyNumberFormat="0" applyAlignment="0" applyProtection="0"/>
    <xf numFmtId="353" fontId="48" fillId="61" borderId="123"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4" fontId="48" fillId="27" borderId="123" applyNumberFormat="0" applyProtection="0">
      <alignment horizontal="right" vertical="center"/>
    </xf>
    <xf numFmtId="353" fontId="251" fillId="18" borderId="128" applyNumberFormat="0" applyProtection="0">
      <alignment horizontal="left" vertical="top" indent="1"/>
    </xf>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3" fontId="48" fillId="31" borderId="128" applyNumberFormat="0" applyProtection="0">
      <alignment horizontal="left" vertical="top" indent="1"/>
    </xf>
    <xf numFmtId="353" fontId="248" fillId="128" borderId="123" applyNumberFormat="0" applyAlignment="0" applyProtection="0"/>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4" fontId="48" fillId="0" borderId="123" applyNumberFormat="0" applyProtection="0">
      <alignment horizontal="right" vertical="center"/>
    </xf>
    <xf numFmtId="353" fontId="10" fillId="0" borderId="132" applyNumberFormat="0" applyFill="0" applyAlignment="0" applyProtection="0"/>
    <xf numFmtId="353" fontId="88" fillId="31" borderId="130" applyBorder="0"/>
    <xf numFmtId="353" fontId="48" fillId="30" borderId="128" applyNumberFormat="0" applyProtection="0">
      <alignment horizontal="left" vertical="top" indent="1"/>
    </xf>
    <xf numFmtId="353" fontId="48" fillId="30" borderId="128" applyNumberFormat="0" applyProtection="0">
      <alignment horizontal="left" vertical="top" indent="1"/>
    </xf>
    <xf numFmtId="210" fontId="59" fillId="0" borderId="32" applyFill="0"/>
    <xf numFmtId="353"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3" fontId="48" fillId="31" borderId="128" applyNumberFormat="0" applyProtection="0">
      <alignment horizontal="left" vertical="top"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353" fontId="137" fillId="14" borderId="123" applyNumberFormat="0" applyAlignment="0" applyProtection="0"/>
    <xf numFmtId="353" fontId="4" fillId="32" borderId="128" applyNumberFormat="0" applyProtection="0">
      <alignment horizontal="left" vertical="top" indent="1"/>
    </xf>
    <xf numFmtId="353" fontId="137" fillId="14" borderId="123" applyNumberFormat="0" applyAlignment="0" applyProtection="0"/>
    <xf numFmtId="353" fontId="4" fillId="19" borderId="128" applyNumberFormat="0" applyProtection="0">
      <alignment horizontal="left" vertical="center" indent="1"/>
    </xf>
    <xf numFmtId="353"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2" borderId="123" applyNumberFormat="0" applyProtection="0">
      <alignment horizontal="left" vertical="center" indent="1"/>
    </xf>
    <xf numFmtId="4" fontId="48" fillId="131" borderId="123" applyNumberFormat="0" applyProtection="0">
      <alignment horizontal="right" vertical="center"/>
    </xf>
    <xf numFmtId="353" fontId="48" fillId="30" borderId="128" applyNumberFormat="0" applyProtection="0">
      <alignment horizontal="left" vertical="top" indent="1"/>
    </xf>
    <xf numFmtId="4" fontId="48" fillId="30" borderId="129" applyNumberFormat="0" applyProtection="0">
      <alignment horizontal="left" vertical="center"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252" fillId="19" borderId="128" applyNumberFormat="0" applyProtection="0">
      <alignment horizontal="left" vertical="top" indent="1"/>
    </xf>
    <xf numFmtId="4" fontId="48" fillId="0" borderId="123" applyNumberFormat="0" applyProtection="0">
      <alignment horizontal="right" vertical="center"/>
    </xf>
    <xf numFmtId="353" fontId="4" fillId="32" borderId="128" applyNumberFormat="0" applyProtection="0">
      <alignment horizontal="left" vertical="top" indent="1"/>
    </xf>
    <xf numFmtId="37" fontId="59" fillId="0" borderId="131" applyNumberFormat="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3" fontId="248" fillId="128" borderId="123" applyNumberFormat="0" applyAlignment="0" applyProtection="0"/>
    <xf numFmtId="353" fontId="48" fillId="32"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353" fontId="48" fillId="19" borderId="128" applyNumberFormat="0" applyProtection="0">
      <alignment horizontal="left" vertical="top" indent="1"/>
    </xf>
    <xf numFmtId="353" fontId="4" fillId="31" borderId="128" applyNumberFormat="0" applyProtection="0">
      <alignment horizontal="left" vertical="center"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4" fontId="48" fillId="0" borderId="123" applyNumberFormat="0" applyProtection="0">
      <alignment horizontal="right" vertical="center"/>
    </xf>
    <xf numFmtId="353"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3" fontId="48" fillId="61" borderId="123"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3" fontId="48" fillId="30" borderId="128" applyNumberFormat="0" applyProtection="0">
      <alignment horizontal="left" vertical="top" indent="1"/>
    </xf>
    <xf numFmtId="353" fontId="48" fillId="31"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4" fontId="48" fillId="64" borderId="123" applyNumberFormat="0" applyProtection="0">
      <alignment horizontal="left" vertical="center" indent="1"/>
    </xf>
    <xf numFmtId="353" fontId="48" fillId="30" borderId="128" applyNumberFormat="0" applyProtection="0">
      <alignment horizontal="left" vertical="top" indent="1"/>
    </xf>
    <xf numFmtId="353" fontId="48" fillId="19" borderId="128" applyNumberFormat="0" applyProtection="0">
      <alignment horizontal="left" vertical="top" indent="1"/>
    </xf>
    <xf numFmtId="4" fontId="4" fillId="31" borderId="129" applyNumberFormat="0" applyProtection="0">
      <alignment horizontal="left" vertical="center" indent="1"/>
    </xf>
    <xf numFmtId="353" fontId="179" fillId="128" borderId="127" applyNumberFormat="0" applyAlignment="0" applyProtection="0"/>
    <xf numFmtId="164" fontId="7" fillId="0" borderId="0" applyFont="0" applyFill="0" applyBorder="0" applyAlignment="0" applyProtection="0"/>
    <xf numFmtId="353"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3" fontId="4" fillId="31" borderId="128" applyNumberFormat="0" applyProtection="0">
      <alignment horizontal="left" vertical="top" indent="1"/>
    </xf>
    <xf numFmtId="353" fontId="48" fillId="32" borderId="128" applyNumberFormat="0" applyProtection="0">
      <alignment horizontal="left" vertical="top" indent="1"/>
    </xf>
    <xf numFmtId="353" fontId="48" fillId="32" borderId="123" applyNumberFormat="0" applyProtection="0">
      <alignment horizontal="left" vertical="center" indent="1"/>
    </xf>
    <xf numFmtId="353" fontId="4" fillId="19" borderId="128" applyNumberFormat="0" applyProtection="0">
      <alignment horizontal="left" vertical="center"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3" fontId="48" fillId="13" borderId="123" applyNumberFormat="0" applyFont="0" applyAlignment="0" applyProtection="0"/>
    <xf numFmtId="353" fontId="248" fillId="128" borderId="123" applyNumberFormat="0" applyAlignment="0" applyProtection="0"/>
    <xf numFmtId="353" fontId="137" fillId="14"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3"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3" fontId="48" fillId="31"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3" fontId="48" fillId="19" borderId="128" applyNumberFormat="0" applyProtection="0">
      <alignment horizontal="left" vertical="top" indent="1"/>
    </xf>
    <xf numFmtId="4" fontId="48" fillId="64" borderId="123" applyNumberFormat="0" applyProtection="0">
      <alignment horizontal="left" vertical="center" indent="1"/>
    </xf>
    <xf numFmtId="353" fontId="48" fillId="30" borderId="128" applyNumberFormat="0" applyProtection="0">
      <alignment horizontal="left" vertical="top" indent="1"/>
    </xf>
    <xf numFmtId="4" fontId="48" fillId="0" borderId="123" applyNumberFormat="0" applyProtection="0">
      <alignment horizontal="right" vertical="center"/>
    </xf>
    <xf numFmtId="353" fontId="248" fillId="128" borderId="123" applyNumberFormat="0" applyAlignment="0" applyProtection="0"/>
    <xf numFmtId="353" fontId="48" fillId="13" borderId="123" applyNumberFormat="0" applyFont="0" applyAlignment="0" applyProtection="0"/>
    <xf numFmtId="4" fontId="4" fillId="31" borderId="129" applyNumberFormat="0" applyProtection="0">
      <alignment horizontal="left" vertical="center"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10" fillId="0" borderId="132" applyNumberFormat="0" applyFill="0" applyAlignment="0" applyProtection="0"/>
    <xf numFmtId="353" fontId="48" fillId="13" borderId="123" applyNumberFormat="0" applyFon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3" fontId="48" fillId="13" borderId="123" applyNumberFormat="0" applyFont="0" applyAlignment="0" applyProtection="0"/>
    <xf numFmtId="353" fontId="248" fillId="128" borderId="123" applyNumberFormat="0" applyAlignment="0" applyProtection="0"/>
    <xf numFmtId="4" fontId="48" fillId="131" borderId="123" applyNumberFormat="0" applyProtection="0">
      <alignment horizontal="right" vertical="center"/>
    </xf>
    <xf numFmtId="353" fontId="48" fillId="13" borderId="123" applyNumberFormat="0" applyFont="0" applyAlignment="0" applyProtection="0"/>
    <xf numFmtId="353"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10" fillId="0" borderId="132" applyNumberFormat="0" applyFill="0" applyAlignment="0" applyProtection="0"/>
    <xf numFmtId="353" fontId="48" fillId="32" borderId="128" applyNumberFormat="0" applyProtection="0">
      <alignment horizontal="left" vertical="top" indent="1"/>
    </xf>
    <xf numFmtId="353" fontId="248" fillId="128" borderId="123" applyNumberFormat="0" applyAlignment="0" applyProtection="0"/>
    <xf numFmtId="4" fontId="48" fillId="0" borderId="123" applyNumberFormat="0" applyProtection="0">
      <alignment horizontal="right" vertical="center"/>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83" borderId="123" applyNumberFormat="0" applyProtection="0">
      <alignment horizontal="left" vertical="center" indent="1"/>
    </xf>
    <xf numFmtId="353" fontId="4" fillId="31" borderId="128" applyNumberFormat="0" applyProtection="0">
      <alignment horizontal="left" vertical="top" indent="1"/>
    </xf>
    <xf numFmtId="4" fontId="48" fillId="28" borderId="123" applyNumberFormat="0" applyProtection="0">
      <alignment horizontal="right" vertical="center"/>
    </xf>
    <xf numFmtId="353" fontId="251" fillId="18" borderId="128" applyNumberFormat="0" applyProtection="0">
      <alignment horizontal="left" vertical="top" indent="1"/>
    </xf>
    <xf numFmtId="353" fontId="88" fillId="31" borderId="130" applyBorder="0"/>
    <xf numFmtId="353" fontId="48" fillId="32" borderId="123" applyNumberFormat="0" applyProtection="0">
      <alignment horizontal="left" vertical="center" indent="1"/>
    </xf>
    <xf numFmtId="353" fontId="137" fillId="14" borderId="123" applyNumberFormat="0" applyAlignment="0" applyProtection="0"/>
    <xf numFmtId="4" fontId="252" fillId="61" borderId="128" applyNumberFormat="0" applyProtection="0">
      <alignment horizontal="left" vertical="center" indent="1"/>
    </xf>
    <xf numFmtId="353" fontId="48" fillId="13" borderId="123" applyNumberFormat="0" applyFont="0" applyAlignment="0" applyProtection="0"/>
    <xf numFmtId="353"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10" fillId="0" borderId="132" applyNumberFormat="0" applyFill="0" applyAlignment="0" applyProtection="0"/>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3" fontId="252" fillId="34" borderId="128" applyNumberFormat="0" applyProtection="0">
      <alignment horizontal="left" vertical="top" indent="1"/>
    </xf>
    <xf numFmtId="353" fontId="48" fillId="30" borderId="128" applyNumberFormat="0" applyProtection="0">
      <alignment horizontal="left" vertical="top" indent="1"/>
    </xf>
    <xf numFmtId="353" fontId="252" fillId="34" borderId="128" applyNumberFormat="0" applyProtection="0">
      <alignment horizontal="left" vertical="top" indent="1"/>
    </xf>
    <xf numFmtId="353" fontId="48" fillId="32" borderId="128" applyNumberFormat="0" applyProtection="0">
      <alignment horizontal="left" vertical="top" indent="1"/>
    </xf>
    <xf numFmtId="353" fontId="252" fillId="19" borderId="128" applyNumberFormat="0" applyProtection="0">
      <alignment horizontal="left" vertical="top" indent="1"/>
    </xf>
    <xf numFmtId="353" fontId="88" fillId="31" borderId="130" applyBorder="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3" fontId="4" fillId="31" borderId="128" applyNumberFormat="0" applyProtection="0">
      <alignment horizontal="left" vertical="center" indent="1"/>
    </xf>
    <xf numFmtId="353" fontId="48" fillId="32" borderId="128" applyNumberFormat="0" applyProtection="0">
      <alignment horizontal="left" vertical="top" indent="1"/>
    </xf>
    <xf numFmtId="4" fontId="4" fillId="31" borderId="129" applyNumberFormat="0" applyProtection="0">
      <alignment horizontal="left" vertical="center" indent="1"/>
    </xf>
    <xf numFmtId="353" fontId="179" fillId="128" borderId="127" applyNumberFormat="0" applyAlignment="0" applyProtection="0"/>
    <xf numFmtId="353" fontId="48" fillId="13" borderId="123" applyNumberFormat="0" applyFont="0" applyAlignment="0" applyProtection="0"/>
    <xf numFmtId="4" fontId="48" fillId="18" borderId="123" applyNumberFormat="0" applyProtection="0">
      <alignment vertical="center"/>
    </xf>
    <xf numFmtId="353" fontId="4" fillId="31" borderId="128" applyNumberFormat="0" applyProtection="0">
      <alignment horizontal="left" vertical="center" indent="1"/>
    </xf>
    <xf numFmtId="353" fontId="48" fillId="30" borderId="128" applyNumberFormat="0" applyProtection="0">
      <alignment horizontal="left" vertical="top" indent="1"/>
    </xf>
    <xf numFmtId="353" fontId="4"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25" borderId="123" applyNumberFormat="0" applyProtection="0">
      <alignment horizontal="right" vertical="center"/>
    </xf>
    <xf numFmtId="353"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3" fontId="48" fillId="31" borderId="128" applyNumberFormat="0" applyProtection="0">
      <alignment horizontal="left" vertical="top" indent="1"/>
    </xf>
    <xf numFmtId="353" fontId="248" fillId="128" borderId="123" applyNumberFormat="0" applyAlignment="0" applyProtection="0"/>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250" fillId="50" borderId="123" applyNumberFormat="0" applyProtection="0">
      <alignment horizontal="right" vertical="center"/>
    </xf>
    <xf numFmtId="353" fontId="10" fillId="0" borderId="132" applyNumberFormat="0" applyFill="0" applyAlignment="0" applyProtection="0"/>
    <xf numFmtId="4" fontId="252" fillId="34" borderId="128" applyNumberFormat="0" applyProtection="0">
      <alignment vertical="center"/>
    </xf>
    <xf numFmtId="353" fontId="48" fillId="30" borderId="128" applyNumberFormat="0" applyProtection="0">
      <alignment horizontal="left" vertical="top" indent="1"/>
    </xf>
    <xf numFmtId="353" fontId="88" fillId="31" borderId="130" applyBorder="0"/>
    <xf numFmtId="4" fontId="48" fillId="0" borderId="123" applyNumberFormat="0" applyProtection="0">
      <alignment horizontal="right" vertical="center"/>
    </xf>
    <xf numFmtId="353" fontId="48" fillId="30" borderId="128" applyNumberFormat="0" applyProtection="0">
      <alignment horizontal="left" vertical="top" indent="1"/>
    </xf>
    <xf numFmtId="4" fontId="48" fillId="28" borderId="123" applyNumberFormat="0" applyProtection="0">
      <alignment horizontal="right" vertical="center"/>
    </xf>
    <xf numFmtId="353" fontId="48" fillId="61" borderId="123"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254" fillId="33" borderId="123" applyNumberFormat="0" applyProtection="0">
      <alignment horizontal="right" vertical="center"/>
    </xf>
    <xf numFmtId="353" fontId="137" fillId="14" borderId="123" applyNumberFormat="0" applyAlignment="0" applyProtection="0"/>
    <xf numFmtId="353" fontId="48" fillId="32" borderId="128" applyNumberFormat="0" applyProtection="0">
      <alignment horizontal="left" vertical="top" indent="1"/>
    </xf>
    <xf numFmtId="353" fontId="137" fillId="14" borderId="123" applyNumberFormat="0" applyAlignment="0" applyProtection="0"/>
    <xf numFmtId="353" fontId="48" fillId="83" borderId="123" applyNumberFormat="0" applyProtection="0">
      <alignment horizontal="left" vertical="center" indent="1"/>
    </xf>
    <xf numFmtId="353"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88" fillId="31" borderId="130" applyBorder="0"/>
    <xf numFmtId="4" fontId="48" fillId="22" borderId="129" applyNumberFormat="0" applyProtection="0">
      <alignment horizontal="right" vertical="center"/>
    </xf>
    <xf numFmtId="353" fontId="48" fillId="30" borderId="128" applyNumberFormat="0" applyProtection="0">
      <alignment horizontal="left" vertical="top" indent="1"/>
    </xf>
    <xf numFmtId="4" fontId="48" fillId="19" borderId="129" applyNumberFormat="0" applyProtection="0">
      <alignment horizontal="left" vertical="center" indent="1"/>
    </xf>
    <xf numFmtId="353" fontId="48" fillId="31" borderId="128" applyNumberFormat="0" applyProtection="0">
      <alignment horizontal="left" vertical="top"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3" fontId="48" fillId="13" borderId="123" applyNumberFormat="0" applyFont="0" applyAlignment="0" applyProtection="0"/>
    <xf numFmtId="4" fontId="254" fillId="33" borderId="123" applyNumberFormat="0" applyProtection="0">
      <alignment horizontal="right" vertical="center"/>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3" fontId="48" fillId="32"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353" fontId="48" fillId="32" borderId="123"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250" fillId="50" borderId="123" applyNumberFormat="0" applyProtection="0">
      <alignment horizontal="right" vertical="center"/>
    </xf>
    <xf numFmtId="353"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3" fontId="48" fillId="19" borderId="128" applyNumberFormat="0" applyProtection="0">
      <alignment horizontal="left" vertical="top" indent="1"/>
    </xf>
    <xf numFmtId="353" fontId="252" fillId="19" borderId="128" applyNumberFormat="0" applyProtection="0">
      <alignment horizontal="left" vertical="top" indent="1"/>
    </xf>
    <xf numFmtId="353" fontId="48" fillId="30" borderId="128" applyNumberFormat="0" applyProtection="0">
      <alignment horizontal="left" vertical="top" indent="1"/>
    </xf>
    <xf numFmtId="353" fontId="4" fillId="32" borderId="128" applyNumberFormat="0" applyProtection="0">
      <alignment horizontal="left" vertical="center" indent="1"/>
    </xf>
    <xf numFmtId="353" fontId="4" fillId="19" borderId="128" applyNumberFormat="0" applyProtection="0">
      <alignment horizontal="left" vertical="center"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3" fontId="48" fillId="31" borderId="128" applyNumberFormat="0" applyProtection="0">
      <alignment horizontal="left" vertical="top" indent="1"/>
    </xf>
    <xf numFmtId="353" fontId="48" fillId="13" borderId="123" applyNumberFormat="0" applyFont="0" applyAlignment="0" applyProtection="0"/>
    <xf numFmtId="4" fontId="250" fillId="50" borderId="123" applyNumberFormat="0" applyProtection="0">
      <alignment horizontal="right" vertical="center"/>
    </xf>
    <xf numFmtId="353" fontId="4" fillId="30" borderId="128" applyNumberFormat="0" applyProtection="0">
      <alignment horizontal="left" vertical="top" indent="1"/>
    </xf>
    <xf numFmtId="353"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3" fontId="10" fillId="0" borderId="132" applyNumberFormat="0" applyFill="0" applyAlignment="0" applyProtection="0"/>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248" fillId="128" borderId="123" applyNumberFormat="0" applyAlignment="0" applyProtection="0"/>
    <xf numFmtId="353"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252" fillId="34" borderId="128" applyNumberFormat="0" applyProtection="0">
      <alignment horizontal="left" vertical="top" indent="1"/>
    </xf>
    <xf numFmtId="353" fontId="10" fillId="0" borderId="132" applyNumberFormat="0" applyFill="0" applyAlignment="0" applyProtection="0"/>
    <xf numFmtId="353" fontId="48" fillId="30" borderId="128" applyNumberFormat="0" applyProtection="0">
      <alignment horizontal="left" vertical="top"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3"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3" fontId="4" fillId="31" borderId="128" applyNumberFormat="0" applyProtection="0">
      <alignment horizontal="left" vertical="center" indent="1"/>
    </xf>
    <xf numFmtId="353" fontId="4" fillId="19" borderId="128" applyNumberFormat="0" applyProtection="0">
      <alignment horizontal="left" vertical="top" indent="1"/>
    </xf>
    <xf numFmtId="353" fontId="48" fillId="13" borderId="123" applyNumberFormat="0" applyFont="0" applyAlignment="0" applyProtection="0"/>
    <xf numFmtId="210" fontId="59" fillId="0" borderId="32" applyFill="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3" fontId="48" fillId="30" borderId="128" applyNumberFormat="0" applyProtection="0">
      <alignment horizontal="left" vertical="top" indent="1"/>
    </xf>
    <xf numFmtId="353"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0" borderId="128" applyNumberFormat="0" applyProtection="0">
      <alignment horizontal="left" vertical="top" indent="1"/>
    </xf>
    <xf numFmtId="4" fontId="4" fillId="31" borderId="129" applyNumberFormat="0" applyProtection="0">
      <alignment horizontal="left" vertical="center" indent="1"/>
    </xf>
    <xf numFmtId="353" fontId="4" fillId="31" borderId="128" applyNumberFormat="0" applyProtection="0">
      <alignment horizontal="left" vertical="top" indent="1"/>
    </xf>
    <xf numFmtId="4" fontId="48" fillId="22" borderId="129" applyNumberFormat="0" applyProtection="0">
      <alignment horizontal="right" vertical="center"/>
    </xf>
    <xf numFmtId="353" fontId="48" fillId="61" borderId="123" applyNumberFormat="0" applyProtection="0">
      <alignment horizontal="left" vertical="center" indent="1"/>
    </xf>
    <xf numFmtId="4" fontId="48" fillId="45"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3" fontId="4" fillId="31" borderId="128" applyNumberFormat="0" applyProtection="0">
      <alignment horizontal="left" vertical="top" indent="1"/>
    </xf>
    <xf numFmtId="353" fontId="48" fillId="83" borderId="123" applyNumberFormat="0" applyProtection="0">
      <alignment horizontal="left" vertical="center"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3" fontId="48" fillId="31" borderId="128" applyNumberFormat="0" applyProtection="0">
      <alignment horizontal="left" vertical="top" indent="1"/>
    </xf>
    <xf numFmtId="353" fontId="48" fillId="32" borderId="128" applyNumberFormat="0" applyProtection="0">
      <alignment horizontal="left" vertical="top" indent="1"/>
    </xf>
    <xf numFmtId="353" fontId="248" fillId="128" borderId="123" applyNumberFormat="0" applyAlignment="0" applyProtection="0"/>
    <xf numFmtId="353" fontId="48" fillId="19" borderId="128" applyNumberFormat="0" applyProtection="0">
      <alignment horizontal="left" vertical="top"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3" fontId="48" fillId="13" borderId="123" applyNumberFormat="0" applyFont="0" applyAlignment="0" applyProtection="0"/>
    <xf numFmtId="353" fontId="137" fillId="14" borderId="123" applyNumberFormat="0" applyAlignment="0" applyProtection="0"/>
    <xf numFmtId="353" fontId="251" fillId="18" borderId="128" applyNumberFormat="0" applyProtection="0">
      <alignment horizontal="left" vertical="top" indent="1"/>
    </xf>
    <xf numFmtId="353" fontId="48" fillId="13" borderId="123" applyNumberFormat="0" applyFont="0" applyAlignment="0" applyProtection="0"/>
    <xf numFmtId="353"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3" fontId="248" fillId="128" borderId="123" applyNumberFormat="0" applyAlignment="0" applyProtection="0"/>
    <xf numFmtId="4" fontId="250" fillId="50" borderId="123" applyNumberFormat="0" applyProtection="0">
      <alignment horizontal="right" vertical="center"/>
    </xf>
    <xf numFmtId="353" fontId="137" fillId="14" borderId="123" applyNumberFormat="0" applyAlignment="0" applyProtection="0"/>
    <xf numFmtId="164" fontId="7" fillId="0" borderId="0" applyFont="0" applyFill="0" applyBorder="0" applyAlignment="0" applyProtection="0"/>
    <xf numFmtId="353" fontId="248" fillId="128" borderId="123" applyNumberFormat="0" applyAlignment="0" applyProtection="0"/>
    <xf numFmtId="4" fontId="48" fillId="45" borderId="123" applyNumberFormat="0" applyProtection="0">
      <alignment horizontal="left" vertical="center" indent="1"/>
    </xf>
    <xf numFmtId="353"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08">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1" fontId="0" fillId="3" borderId="67" xfId="0" applyNumberFormat="1" applyFill="1" applyBorder="1" applyAlignment="1">
      <alignment horizontal="right" vertical="top"/>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164" fontId="5" fillId="3" borderId="83" xfId="1" applyFont="1" applyFill="1" applyBorder="1" applyAlignment="1">
      <alignment horizontal="left" vertical="top"/>
    </xf>
    <xf numFmtId="164" fontId="5" fillId="3" borderId="84" xfId="1" applyFont="1" applyFill="1" applyBorder="1" applyAlignment="1">
      <alignment horizontal="left" vertical="top"/>
    </xf>
    <xf numFmtId="164" fontId="5" fillId="3" borderId="85" xfId="1" applyFont="1" applyFill="1" applyBorder="1" applyAlignment="1">
      <alignment horizontal="left" vertical="top"/>
    </xf>
    <xf numFmtId="43" fontId="3" fillId="0" borderId="0" xfId="0" applyNumberFormat="1" applyFont="1" applyBorder="1" applyAlignment="1">
      <alignment horizontal="center" vertical="center" wrapText="1"/>
    </xf>
    <xf numFmtId="43" fontId="0" fillId="0" borderId="0" xfId="0" applyNumberFormat="1" applyAlignment="1">
      <alignment horizontal="left" vertical="top"/>
    </xf>
    <xf numFmtId="350" fontId="0" fillId="0" borderId="0" xfId="0" applyNumberFormat="1"/>
    <xf numFmtId="350" fontId="0" fillId="0" borderId="0" xfId="0" applyNumberFormat="1" applyFill="1"/>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35"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3" borderId="0" xfId="0" applyFont="1" applyFill="1" applyAlignment="1">
      <alignment horizontal="left" vertical="top"/>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xf numFmtId="173" fontId="5" fillId="36" borderId="9" xfId="75" applyNumberFormat="1" applyFont="1" applyFill="1" applyBorder="1" applyAlignment="1" applyProtection="1">
      <alignment vertical="center"/>
    </xf>
    <xf numFmtId="352" fontId="0" fillId="0" borderId="0" xfId="0" applyNumberFormat="1" applyFill="1"/>
    <xf numFmtId="0" fontId="0" fillId="3" borderId="0" xfId="0" applyFont="1" applyFill="1" applyAlignment="1">
      <alignment vertical="top"/>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73">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987466/Forecomp_May_2021.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sheetView>
  </sheetViews>
  <sheetFormatPr defaultRowHeight="12.75"/>
  <cols>
    <col min="1" max="1" width="8.375" customWidth="1"/>
    <col min="2" max="2" width="27.125" customWidth="1"/>
    <col min="3" max="6" width="14.125" customWidth="1"/>
    <col min="7" max="7" width="14.125" style="213" customWidth="1"/>
    <col min="8" max="11" width="14.125" customWidth="1"/>
  </cols>
  <sheetData>
    <row r="1" spans="1:11" s="31" customFormat="1" ht="20.25">
      <c r="A1" s="907" t="s">
        <v>305</v>
      </c>
      <c r="B1" s="908"/>
      <c r="C1" s="908"/>
      <c r="D1" s="909"/>
      <c r="E1" s="910"/>
      <c r="F1" s="908"/>
      <c r="G1" s="911"/>
      <c r="H1" s="908"/>
      <c r="I1" s="908"/>
      <c r="J1" s="908"/>
      <c r="K1" s="908"/>
    </row>
    <row r="2" spans="1:11" s="31" customFormat="1" ht="20.25">
      <c r="A2" s="907" t="str">
        <f>'RFPR cover'!C5</f>
        <v>SPD</v>
      </c>
      <c r="B2" s="908"/>
      <c r="C2" s="908"/>
      <c r="D2" s="910"/>
      <c r="E2" s="910"/>
      <c r="F2" s="908"/>
      <c r="G2" s="911"/>
      <c r="H2" s="908"/>
      <c r="I2" s="908"/>
      <c r="J2" s="908"/>
      <c r="K2" s="908"/>
    </row>
    <row r="3" spans="1:11" s="31" customFormat="1" ht="20.25">
      <c r="A3" s="907">
        <f>'RFPR cover'!C7</f>
        <v>2021</v>
      </c>
      <c r="B3" s="908"/>
      <c r="C3" s="908"/>
      <c r="D3" s="910"/>
      <c r="E3" s="910"/>
      <c r="F3" s="908"/>
      <c r="G3" s="911"/>
      <c r="H3" s="908"/>
      <c r="I3" s="908"/>
      <c r="J3" s="908"/>
      <c r="K3" s="908"/>
    </row>
    <row r="4" spans="1:11" ht="14.25">
      <c r="A4" s="30"/>
      <c r="B4" s="30"/>
      <c r="C4" s="30"/>
      <c r="D4" s="30"/>
      <c r="E4" s="30"/>
      <c r="H4" s="10"/>
      <c r="I4" s="10"/>
      <c r="J4" s="10"/>
    </row>
    <row r="5" spans="1:11" ht="13.5" customHeight="1">
      <c r="A5" s="30"/>
      <c r="B5" s="78" t="s">
        <v>62</v>
      </c>
      <c r="C5" s="45" t="s">
        <v>45</v>
      </c>
      <c r="D5" s="339"/>
      <c r="E5" s="19"/>
      <c r="F5" s="11"/>
      <c r="G5" s="550" t="s">
        <v>0</v>
      </c>
      <c r="H5" s="10"/>
      <c r="I5" s="10"/>
      <c r="J5" s="10"/>
    </row>
    <row r="6" spans="1:11" ht="13.5" customHeight="1">
      <c r="A6" s="30"/>
      <c r="B6" s="78" t="s">
        <v>188</v>
      </c>
      <c r="C6" s="83" t="str">
        <f>INDEX(Data!$A$73:$A$100,MATCH($C$5,Data!$B$73:$B$100,0),0)&amp;"1"</f>
        <v>ED1</v>
      </c>
      <c r="D6" s="19"/>
      <c r="E6" s="19"/>
      <c r="F6" s="9"/>
      <c r="G6" s="550" t="s">
        <v>1</v>
      </c>
      <c r="H6" s="10"/>
      <c r="I6" s="10"/>
      <c r="J6" s="10"/>
    </row>
    <row r="7" spans="1:11" ht="25.5">
      <c r="A7" s="30"/>
      <c r="B7" s="79" t="s">
        <v>187</v>
      </c>
      <c r="C7" s="84">
        <v>2021</v>
      </c>
      <c r="D7" s="18"/>
      <c r="E7" s="19"/>
      <c r="F7" s="8"/>
      <c r="G7" s="551" t="s">
        <v>2</v>
      </c>
      <c r="H7" s="10"/>
      <c r="I7" s="10"/>
      <c r="J7" s="10"/>
    </row>
    <row r="8" spans="1:11" ht="14.25">
      <c r="A8" s="30"/>
      <c r="B8" s="78" t="s">
        <v>37</v>
      </c>
      <c r="C8" s="1005">
        <v>1</v>
      </c>
      <c r="D8" s="19"/>
      <c r="E8" s="18"/>
      <c r="F8" s="7"/>
      <c r="G8" s="550" t="s">
        <v>3</v>
      </c>
      <c r="H8" s="10"/>
      <c r="I8" s="10"/>
      <c r="J8" s="10"/>
    </row>
    <row r="9" spans="1:11" ht="14.25">
      <c r="A9" s="30"/>
      <c r="B9" s="78" t="s">
        <v>38</v>
      </c>
      <c r="C9" s="85">
        <v>44408</v>
      </c>
      <c r="D9" s="18"/>
      <c r="E9" s="18"/>
      <c r="F9" s="6"/>
      <c r="G9" s="550" t="s">
        <v>4</v>
      </c>
      <c r="H9" s="10"/>
      <c r="I9" s="10"/>
      <c r="J9" s="10"/>
    </row>
    <row r="10" spans="1:11" ht="14.25">
      <c r="A10" s="30"/>
      <c r="B10" s="78" t="s">
        <v>70</v>
      </c>
      <c r="C10" s="86">
        <f>SUMIF(Data!$B$72:$B$100,C5,Data!$C$72:$C$100)</f>
        <v>0.06</v>
      </c>
      <c r="D10" s="18"/>
      <c r="E10" s="18"/>
      <c r="F10" s="5"/>
      <c r="G10" s="550" t="s">
        <v>5</v>
      </c>
      <c r="H10" s="10"/>
      <c r="I10" s="10"/>
      <c r="J10" s="10"/>
    </row>
    <row r="11" spans="1:11" ht="14.25">
      <c r="A11" s="30"/>
      <c r="B11" s="78" t="s">
        <v>71</v>
      </c>
      <c r="C11" s="87">
        <f>SUMIF(Data!$B$72:$B$100,C5,Data!$D$72:$D$100)</f>
        <v>0.53500000000000003</v>
      </c>
      <c r="D11" s="19"/>
      <c r="E11" s="19"/>
      <c r="F11" s="4"/>
      <c r="G11" s="550" t="s">
        <v>6</v>
      </c>
      <c r="H11" s="10"/>
      <c r="I11" s="10"/>
      <c r="J11" s="10"/>
    </row>
    <row r="12" spans="1:11">
      <c r="A12" s="30"/>
      <c r="B12" s="78" t="s">
        <v>115</v>
      </c>
      <c r="C12" s="86">
        <f>SUMIF(Data!$B$72:$B$100,C5,Data!$E$72:$E$100)</f>
        <v>0.65</v>
      </c>
      <c r="D12" s="18"/>
      <c r="E12" s="18"/>
      <c r="F12" s="18"/>
      <c r="G12" s="552"/>
    </row>
    <row r="13" spans="1:11">
      <c r="A13" s="30"/>
      <c r="B13" s="78" t="s">
        <v>494</v>
      </c>
      <c r="C13" s="83">
        <f>INDEX(Data!$G$73:$G$100,MATCH($C$5,Data!$B$73:$B$100,0),0)</f>
        <v>2016</v>
      </c>
      <c r="D13" s="18"/>
      <c r="E13" s="18"/>
      <c r="F13" s="77" t="s">
        <v>190</v>
      </c>
    </row>
    <row r="14" spans="1:11">
      <c r="A14" s="30"/>
      <c r="B14" s="80" t="s">
        <v>184</v>
      </c>
      <c r="C14" s="83" t="str">
        <f>INDEX(Data!$H$73:$H$100,MATCH($C$5,Data!$B$73:$B$100,0),0)</f>
        <v>£m 12/13</v>
      </c>
      <c r="D14" s="18"/>
      <c r="E14" s="18"/>
      <c r="F14" s="89">
        <v>0.1</v>
      </c>
      <c r="G14" s="552"/>
    </row>
    <row r="15" spans="1:11">
      <c r="A15" s="30"/>
      <c r="B15" s="18"/>
      <c r="C15" s="18"/>
      <c r="D15" s="18"/>
      <c r="E15" s="18"/>
      <c r="F15" s="18"/>
      <c r="G15" s="552"/>
    </row>
    <row r="85" spans="1:1">
      <c r="A85" s="204"/>
    </row>
  </sheetData>
  <pageMargins left="0.70866141732283472" right="0.70866141732283472" top="0.74803149606299213" bottom="0.74803149606299213" header="0.31496062992125984" footer="0.31496062992125984"/>
  <pageSetup scale="49" orientation="portrait" r:id="rId1"/>
  <headerFooter>
    <oddFooter>&amp;C&amp;1#&amp;"Calibri"&amp;12&amp;K008000Internal Use</oddFoot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Normal="100" workbookViewId="0">
      <pane ySplit="4" topLeftCell="A5" activePane="bottomLeft" state="frozen"/>
      <selection activeCell="B75" sqref="A1:XFD1048576"/>
      <selection pane="bottomLeft"/>
    </sheetView>
  </sheetViews>
  <sheetFormatPr defaultRowHeight="12.75"/>
  <cols>
    <col min="1" max="1" width="8.375" customWidth="1"/>
    <col min="2" max="2" width="35.125" customWidth="1"/>
    <col min="8" max="8" width="10.125" bestFit="1" customWidth="1"/>
    <col min="14" max="14" width="9" customWidth="1"/>
  </cols>
  <sheetData>
    <row r="1" spans="1:14" ht="20.25">
      <c r="A1" s="912" t="s">
        <v>359</v>
      </c>
      <c r="B1" s="913"/>
      <c r="C1" s="913"/>
      <c r="D1" s="913"/>
      <c r="E1" s="913"/>
      <c r="F1" s="913"/>
      <c r="G1" s="913"/>
      <c r="H1" s="913"/>
      <c r="I1" s="913"/>
      <c r="J1" s="913"/>
      <c r="K1" s="913"/>
      <c r="L1" s="913"/>
      <c r="M1" s="913"/>
      <c r="N1" s="914"/>
    </row>
    <row r="2" spans="1:14" ht="20.25">
      <c r="A2" s="915" t="str">
        <f>'RFPR cover'!C5</f>
        <v>SPD</v>
      </c>
      <c r="B2" s="916"/>
      <c r="C2" s="916"/>
      <c r="D2" s="916"/>
      <c r="E2" s="916"/>
      <c r="F2" s="916"/>
      <c r="G2" s="916"/>
      <c r="H2" s="916"/>
      <c r="I2" s="916"/>
      <c r="J2" s="916"/>
      <c r="K2" s="916"/>
      <c r="L2" s="916"/>
      <c r="M2" s="916"/>
      <c r="N2" s="917"/>
    </row>
    <row r="3" spans="1:14" ht="20.25">
      <c r="A3" s="918">
        <f>'RFPR cover'!C7</f>
        <v>2021</v>
      </c>
      <c r="B3" s="919"/>
      <c r="C3" s="919"/>
      <c r="D3" s="919"/>
      <c r="E3" s="919"/>
      <c r="F3" s="919"/>
      <c r="G3" s="919"/>
      <c r="H3" s="919"/>
      <c r="I3" s="919"/>
      <c r="J3" s="919"/>
      <c r="K3" s="919"/>
      <c r="L3" s="919"/>
      <c r="M3" s="919"/>
      <c r="N3" s="920"/>
    </row>
    <row r="6" spans="1:14">
      <c r="A6" s="30"/>
      <c r="B6" s="21">
        <v>2018</v>
      </c>
      <c r="C6" s="20" t="s">
        <v>63</v>
      </c>
      <c r="D6" s="18"/>
      <c r="E6" s="18"/>
      <c r="F6" s="845"/>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53" t="s">
        <v>39</v>
      </c>
      <c r="C13" s="554" t="s">
        <v>40</v>
      </c>
      <c r="D13" s="554" t="s">
        <v>191</v>
      </c>
      <c r="E13" s="554" t="s">
        <v>41</v>
      </c>
      <c r="F13" s="554" t="s">
        <v>42</v>
      </c>
      <c r="G13" s="555" t="s">
        <v>318</v>
      </c>
    </row>
    <row r="14" spans="1:14">
      <c r="A14" s="30"/>
      <c r="B14" s="162" t="s">
        <v>74</v>
      </c>
      <c r="C14" s="169">
        <v>2010</v>
      </c>
      <c r="D14" s="163" t="str">
        <f>IF(VALUE(C14)&lt;='RFPR cover'!$C$7,"Actual","Forecast")</f>
        <v>Actual</v>
      </c>
      <c r="E14" s="374">
        <v>215.767</v>
      </c>
      <c r="F14" s="499">
        <v>221.75</v>
      </c>
      <c r="G14" s="164">
        <v>0.28000000000000003</v>
      </c>
      <c r="H14" s="846"/>
      <c r="J14" s="847"/>
    </row>
    <row r="15" spans="1:14">
      <c r="A15" s="30"/>
      <c r="B15" s="165" t="s">
        <v>75</v>
      </c>
      <c r="C15" s="170">
        <v>2011</v>
      </c>
      <c r="D15" s="166" t="str">
        <f>IF(VALUE(C15)&lt;='RFPR cover'!$C$7,"Actual","Forecast")</f>
        <v>Actual</v>
      </c>
      <c r="E15" s="375">
        <v>226.47499999999999</v>
      </c>
      <c r="F15" s="500">
        <v>233.45</v>
      </c>
      <c r="G15" s="167">
        <v>0.28000000000000003</v>
      </c>
      <c r="H15" s="846"/>
      <c r="J15" s="847"/>
    </row>
    <row r="16" spans="1:14" ht="14.25" customHeight="1">
      <c r="A16" s="30"/>
      <c r="B16" s="165" t="s">
        <v>76</v>
      </c>
      <c r="C16" s="170">
        <v>2012</v>
      </c>
      <c r="D16" s="166" t="str">
        <f>IF(VALUE(C16)&lt;='RFPR cover'!$C$7,"Actual","Forecast")</f>
        <v>Actual</v>
      </c>
      <c r="E16" s="375">
        <v>237.34200000000001</v>
      </c>
      <c r="F16" s="500">
        <v>241.65</v>
      </c>
      <c r="G16" s="167">
        <v>0.26</v>
      </c>
      <c r="H16" s="846"/>
      <c r="J16" s="847"/>
    </row>
    <row r="17" spans="2:10">
      <c r="B17" s="165" t="s">
        <v>77</v>
      </c>
      <c r="C17" s="170">
        <v>2013</v>
      </c>
      <c r="D17" s="166" t="str">
        <f>IF(VALUE(C17)&lt;='RFPR cover'!$C$7,"Actual","Forecast")</f>
        <v>Actual</v>
      </c>
      <c r="E17" s="375">
        <v>244.67500000000001</v>
      </c>
      <c r="F17" s="500">
        <v>249.1</v>
      </c>
      <c r="G17" s="167">
        <v>0.24</v>
      </c>
      <c r="H17" s="846"/>
      <c r="J17" s="847"/>
    </row>
    <row r="18" spans="2:10">
      <c r="B18" s="165" t="s">
        <v>78</v>
      </c>
      <c r="C18" s="170">
        <v>2014</v>
      </c>
      <c r="D18" s="166" t="str">
        <f>IF(VALUE(C18)&lt;='RFPR cover'!$C$7,"Actual","Forecast")</f>
        <v>Actual</v>
      </c>
      <c r="E18" s="375">
        <v>251.733</v>
      </c>
      <c r="F18" s="500">
        <v>255.25</v>
      </c>
      <c r="G18" s="167">
        <v>0.23</v>
      </c>
      <c r="H18" s="846"/>
      <c r="I18" s="519"/>
      <c r="J18" s="847"/>
    </row>
    <row r="19" spans="2:10">
      <c r="B19" s="165" t="s">
        <v>79</v>
      </c>
      <c r="C19" s="170">
        <v>2015</v>
      </c>
      <c r="D19" s="166" t="str">
        <f>IF(VALUE(C19)&lt;='RFPR cover'!$C$7,"Actual","Forecast")</f>
        <v>Actual</v>
      </c>
      <c r="E19" s="375">
        <v>256.66699999999997</v>
      </c>
      <c r="F19" s="500">
        <v>257.55</v>
      </c>
      <c r="G19" s="167">
        <v>0.21</v>
      </c>
      <c r="H19" s="846"/>
      <c r="I19" s="519"/>
      <c r="J19" s="847"/>
    </row>
    <row r="20" spans="2:10">
      <c r="B20" s="165" t="s">
        <v>80</v>
      </c>
      <c r="C20" s="170">
        <v>2016</v>
      </c>
      <c r="D20" s="166" t="str">
        <f>IF(VALUE(C20)&lt;='RFPR cover'!$C$7,"Actual","Forecast")</f>
        <v>Actual</v>
      </c>
      <c r="E20" s="375">
        <v>259.43299999999999</v>
      </c>
      <c r="F20" s="500">
        <v>261.25</v>
      </c>
      <c r="G20" s="167">
        <v>0.2</v>
      </c>
      <c r="H20" s="846"/>
      <c r="I20" s="519"/>
      <c r="J20" s="847"/>
    </row>
    <row r="21" spans="2:10">
      <c r="B21" s="165" t="s">
        <v>81</v>
      </c>
      <c r="C21" s="170">
        <v>2017</v>
      </c>
      <c r="D21" s="166" t="str">
        <f>IF(VALUE(C21)&lt;='RFPR cover'!$C$7,"Actual","Forecast")</f>
        <v>Actual</v>
      </c>
      <c r="E21" s="375">
        <v>264.99200000000002</v>
      </c>
      <c r="F21" s="500">
        <v>269.95000000000005</v>
      </c>
      <c r="G21" s="167">
        <v>0.2</v>
      </c>
      <c r="H21" s="846"/>
      <c r="I21" s="519"/>
      <c r="J21" s="847"/>
    </row>
    <row r="22" spans="2:10">
      <c r="B22" s="165" t="s">
        <v>63</v>
      </c>
      <c r="C22" s="170">
        <v>2018</v>
      </c>
      <c r="D22" s="166" t="str">
        <f>IF(VALUE(C22)&lt;='RFPR cover'!$C$7,"Actual","Forecast")</f>
        <v>Actual</v>
      </c>
      <c r="E22" s="375">
        <v>274.90800000000002</v>
      </c>
      <c r="F22" s="500">
        <v>279</v>
      </c>
      <c r="G22" s="167">
        <v>0.19</v>
      </c>
      <c r="H22" s="846"/>
      <c r="I22" s="519"/>
      <c r="J22" s="847"/>
    </row>
    <row r="23" spans="2:10">
      <c r="B23" s="502" t="s">
        <v>64</v>
      </c>
      <c r="C23" s="503">
        <v>2019</v>
      </c>
      <c r="D23" s="166" t="str">
        <f>IF(VALUE(C23)&lt;='RFPR cover'!$C$7,"Actual","Forecast")</f>
        <v>Actual</v>
      </c>
      <c r="E23" s="375">
        <v>283.30799999999999</v>
      </c>
      <c r="F23" s="500">
        <v>286.64999999999998</v>
      </c>
      <c r="G23" s="167">
        <v>0.19</v>
      </c>
      <c r="H23" s="1006"/>
      <c r="J23" s="847"/>
    </row>
    <row r="24" spans="2:10">
      <c r="B24" s="502" t="s">
        <v>65</v>
      </c>
      <c r="C24" s="503">
        <v>2020</v>
      </c>
      <c r="D24" s="166" t="str">
        <f>IF(VALUE(C24)&lt;='RFPR cover'!$C$7,"Actual","Forecast")</f>
        <v>Actual</v>
      </c>
      <c r="E24" s="375">
        <v>290.642</v>
      </c>
      <c r="F24" s="375">
        <v>292.60000000000002</v>
      </c>
      <c r="G24" s="167">
        <v>0.19</v>
      </c>
      <c r="H24" s="31"/>
    </row>
    <row r="25" spans="2:10">
      <c r="B25" s="502" t="s">
        <v>66</v>
      </c>
      <c r="C25" s="503">
        <v>2021</v>
      </c>
      <c r="D25" s="166" t="str">
        <f>IF(VALUE(C25)&lt;='RFPR cover'!$C$7,"Actual","Forecast")</f>
        <v>Actual</v>
      </c>
      <c r="E25" s="375">
        <v>294.16666666666669</v>
      </c>
      <c r="F25" s="375">
        <v>299</v>
      </c>
      <c r="G25" s="167">
        <v>0.19</v>
      </c>
      <c r="H25" s="1006"/>
      <c r="J25" s="847"/>
    </row>
    <row r="26" spans="2:10">
      <c r="B26" s="502" t="s">
        <v>67</v>
      </c>
      <c r="C26" s="503">
        <v>2022</v>
      </c>
      <c r="D26" s="166" t="str">
        <f>IF(VALUE(C26)&lt;='RFPR cover'!$C$7,"Actual","Forecast")</f>
        <v>Forecast</v>
      </c>
      <c r="E26" s="501">
        <f t="shared" ref="E26:F27" si="0">E25*(1+INDEX($D$43:$J$43,0,MATCH($C26,$D$42:$J$42,0)))</f>
        <v>301.96208333333334</v>
      </c>
      <c r="F26" s="501">
        <f t="shared" si="0"/>
        <v>306.92349999999999</v>
      </c>
      <c r="G26" s="167">
        <v>0.19</v>
      </c>
      <c r="H26" s="1006"/>
      <c r="J26" s="847"/>
    </row>
    <row r="27" spans="2:10">
      <c r="B27" s="502" t="s">
        <v>68</v>
      </c>
      <c r="C27" s="503">
        <v>2023</v>
      </c>
      <c r="D27" s="166" t="str">
        <f>IF(VALUE(C27)&lt;='RFPR cover'!$C$7,"Actual","Forecast")</f>
        <v>Forecast</v>
      </c>
      <c r="E27" s="501">
        <f t="shared" si="0"/>
        <v>311.24741739583334</v>
      </c>
      <c r="F27" s="501">
        <f t="shared" si="0"/>
        <v>316.361397625</v>
      </c>
      <c r="G27" s="167">
        <v>0.19</v>
      </c>
      <c r="H27" s="846"/>
      <c r="J27" s="847"/>
    </row>
    <row r="28" spans="2:10">
      <c r="B28" s="502" t="s">
        <v>204</v>
      </c>
      <c r="C28" s="503">
        <v>2024</v>
      </c>
      <c r="D28" s="166" t="str">
        <f>IF(VALUE(C28)&lt;='RFPR cover'!$C$7,"Actual","Forecast")</f>
        <v>Forecast</v>
      </c>
      <c r="E28" s="377"/>
      <c r="F28" s="377"/>
      <c r="G28" s="167">
        <v>0.19</v>
      </c>
    </row>
    <row r="29" spans="2:10">
      <c r="B29" s="502" t="s">
        <v>205</v>
      </c>
      <c r="C29" s="503">
        <v>2025</v>
      </c>
      <c r="D29" s="166" t="str">
        <f>IF(VALUE(C29)&lt;='RFPR cover'!$C$7,"Actual","Forecast")</f>
        <v>Forecast</v>
      </c>
      <c r="E29" s="377"/>
      <c r="F29" s="377"/>
      <c r="G29" s="167">
        <v>0.25</v>
      </c>
    </row>
    <row r="30" spans="2:10">
      <c r="B30" s="504" t="s">
        <v>206</v>
      </c>
      <c r="C30" s="505">
        <v>2026</v>
      </c>
      <c r="D30" s="168" t="str">
        <f>IF(VALUE(C30)&lt;='RFPR cover'!$C$7,"Actual","Forecast")</f>
        <v>Forecast</v>
      </c>
      <c r="E30" s="376"/>
      <c r="F30" s="376"/>
      <c r="G30" s="167">
        <v>0.25</v>
      </c>
    </row>
    <row r="31" spans="2:10">
      <c r="B31" s="88"/>
      <c r="C31" s="67"/>
      <c r="D31" s="67"/>
      <c r="E31" s="67"/>
      <c r="F31" s="67"/>
    </row>
    <row r="32" spans="2:10">
      <c r="B32" s="88"/>
      <c r="C32" s="343" t="str">
        <f>IF(C33&lt;='RFPR cover'!$C$7,"Actuals","Forecast")</f>
        <v>Actuals</v>
      </c>
      <c r="D32" s="344" t="str">
        <f>IF(D33&lt;='RFPR cover'!$C$7,"Actuals","Forecast")</f>
        <v>Actuals</v>
      </c>
      <c r="E32" s="344" t="str">
        <f>IF(E33&lt;='RFPR cover'!$C$7,"Actuals","Forecast")</f>
        <v>Actuals</v>
      </c>
      <c r="F32" s="344" t="str">
        <f>IF(F33&lt;='RFPR cover'!$C$7,"Actuals","Forecast")</f>
        <v>Actuals</v>
      </c>
      <c r="G32" s="344" t="str">
        <f>IF(G33&lt;='RFPR cover'!$C$7,"Actuals","Forecast")</f>
        <v>Actuals</v>
      </c>
      <c r="H32" s="344" t="str">
        <f>IF(H33&lt;='RFPR cover'!$C$7,"Actuals","Forecast")</f>
        <v>Actuals</v>
      </c>
      <c r="I32" s="344" t="str">
        <f>IF(I33&lt;='RFPR cover'!$C$7,"Actuals","Forecast")</f>
        <v>Forecast</v>
      </c>
      <c r="J32" s="345" t="str">
        <f>IF(J33&lt;='RFPR cover'!$C$7,"Actuals","Forecast")</f>
        <v>Forecast</v>
      </c>
    </row>
    <row r="33" spans="2:14" ht="15.75" customHeight="1">
      <c r="B33" s="289"/>
      <c r="C33" s="90">
        <f>'RFPR cover'!$C$13</f>
        <v>2016</v>
      </c>
      <c r="D33" s="91">
        <f t="shared" ref="D33:J33" si="1">C33+1</f>
        <v>2017</v>
      </c>
      <c r="E33" s="91">
        <f t="shared" si="1"/>
        <v>2018</v>
      </c>
      <c r="F33" s="91">
        <f t="shared" si="1"/>
        <v>2019</v>
      </c>
      <c r="G33" s="91">
        <f t="shared" si="1"/>
        <v>2020</v>
      </c>
      <c r="H33" s="91">
        <f t="shared" si="1"/>
        <v>2021</v>
      </c>
      <c r="I33" s="91">
        <f t="shared" si="1"/>
        <v>2022</v>
      </c>
      <c r="J33" s="316">
        <f t="shared" si="1"/>
        <v>2023</v>
      </c>
    </row>
    <row r="34" spans="2:14" ht="15.75" customHeight="1">
      <c r="B34" s="497" t="s">
        <v>360</v>
      </c>
      <c r="C34" s="495">
        <f>INDEX(Data!$E$14:$E$30,MATCH(C$33,Data!$C$14:$C$30,0),0)/IF('RFPR cover'!$C$6="ED1",Data!$E$17,Data!$E$14)</f>
        <v>1.0603167467048125</v>
      </c>
      <c r="D34" s="492">
        <f>INDEX(Data!$E$14:$E$30,MATCH(D$33,Data!$C$14:$C$30,0),0)/IF('RFPR cover'!$C$6="ED1",Data!$E$17,Data!$E$14)</f>
        <v>1.0830366813119445</v>
      </c>
      <c r="E34" s="492">
        <f>INDEX(Data!$E$14:$E$30,MATCH(E$33,Data!$C$14:$C$30,0),0)/IF('RFPR cover'!$C$6="ED1",Data!$E$17,Data!$E$14)</f>
        <v>1.1235639113109226</v>
      </c>
      <c r="F34" s="492">
        <f>INDEX(Data!$E$14:$E$30,MATCH(F$33,Data!$C$14:$C$30,0),0)/IF('RFPR cover'!$C$6="ED1",Data!$E$17,Data!$E$14)</f>
        <v>1.1578951670583426</v>
      </c>
      <c r="G34" s="492">
        <f>INDEX(Data!$E$14:$E$30,MATCH(G$33,Data!$C$14:$C$30,0),0)/IF('RFPR cover'!$C$6="ED1",Data!$E$17,Data!$E$14)</f>
        <v>1.1878696229692449</v>
      </c>
      <c r="H34" s="492">
        <f>INDEX(Data!$E$14:$E$30,MATCH(H$33,Data!$C$14:$C$30,0),0)/IF('RFPR cover'!$C$6="ED1",Data!$E$17,Data!$E$14)</f>
        <v>1.202275126868976</v>
      </c>
      <c r="I34" s="493">
        <f>INDEX(Data!$E$14:$E$30,MATCH(I$33,Data!$C$14:$C$30,0),0)/IF('RFPR cover'!$C$6="ED1",Data!$E$17,Data!$E$14)</f>
        <v>1.2341354177310038</v>
      </c>
      <c r="J34" s="494">
        <f>INDEX(Data!$E$14:$E$30,MATCH(J$33,Data!$C$14:$C$30,0),0)/IF('RFPR cover'!$C$6="ED1",Data!$E$17,Data!$E$14)</f>
        <v>1.2720850818262321</v>
      </c>
    </row>
    <row r="35" spans="2:14" ht="15.75" customHeight="1">
      <c r="B35" s="498" t="s">
        <v>42</v>
      </c>
      <c r="C35" s="496">
        <f>INDEX(Data!$F$14:$F$30,MATCH(C$33,Data!$C$14:$C$30,0),0)/IF('RFPR cover'!$C$6="ED1",Data!$E$17,Data!$E$14)</f>
        <v>1.0677429242873198</v>
      </c>
      <c r="D35" s="496">
        <f>INDEX(Data!$F$14:$F$30,MATCH(D$33,Data!$C$14:$C$30,0),0)/IF('RFPR cover'!$C$6="ED1",Data!$E$17,Data!$E$14)</f>
        <v>1.1033002963114336</v>
      </c>
      <c r="E35" s="496">
        <f>INDEX(Data!$F$14:$F$30,MATCH(E$33,Data!$C$14:$C$30,0),0)/IF('RFPR cover'!$C$6="ED1",Data!$E$17,Data!$E$14)</f>
        <v>1.1402881373250229</v>
      </c>
      <c r="F35" s="496">
        <f>INDEX(Data!$F$14:$F$30,MATCH(F$33,Data!$C$14:$C$30,0),0)/IF('RFPR cover'!$C$6="ED1",Data!$E$17,Data!$E$14)</f>
        <v>1.171554102380709</v>
      </c>
      <c r="G35" s="496">
        <f>INDEX(Data!$F$14:$F$30,MATCH(G$33,Data!$C$14:$C$30,0),0)/IF('RFPR cover'!$C$6="ED1",Data!$E$17,Data!$E$14)</f>
        <v>1.1958720752017984</v>
      </c>
      <c r="H35" s="496">
        <f>INDEX(Data!$F$14:$F$30,MATCH(H$33,Data!$C$14:$C$30,0),0)/IF('RFPR cover'!$C$6="ED1",Data!$E$17,Data!$E$14)</f>
        <v>1.2220292224379279</v>
      </c>
      <c r="I35" s="496">
        <f>INDEX(Data!$F$14:$F$30,MATCH(I$33,Data!$C$14:$C$30,0),0)/IF('RFPR cover'!$C$6="ED1",Data!$E$17,Data!$E$14)</f>
        <v>1.2544129968325328</v>
      </c>
      <c r="J35" s="496">
        <f>INDEX(Data!$F$14:$F$30,MATCH(J$33,Data!$C$14:$C$30,0),0)/IF('RFPR cover'!$C$6="ED1",Data!$E$17,Data!$E$14)</f>
        <v>1.2929861964851332</v>
      </c>
    </row>
    <row r="36" spans="2:14">
      <c r="B36" s="498" t="s">
        <v>490</v>
      </c>
      <c r="C36" s="496">
        <f>INDEX(Data!$E$14:$E$30,MATCH(C$33,Data!$C$14:$C$30,0))/INDEX(Data!$E$14:$E$30,MATCH(C$33-1,Data!$C$14:$C$30,0))</f>
        <v>1.0107766093810269</v>
      </c>
      <c r="D36" s="496">
        <f>INDEX(Data!$E$14:$E$30,MATCH(D$33,Data!$C$14:$C$30,0))/INDEX(Data!$E$14:$E$30,MATCH(D$33-1,Data!$C$14:$C$30,0))</f>
        <v>1.0214274976583551</v>
      </c>
      <c r="E36" s="496">
        <f>INDEX(Data!$E$14:$E$30,MATCH(E$33,Data!$C$14:$C$30,0))/INDEX(Data!$E$14:$E$30,MATCH(E$33-1,Data!$C$14:$C$30,0))</f>
        <v>1.0374199975848328</v>
      </c>
      <c r="F36" s="496">
        <f>INDEX(Data!$E$14:$E$30,MATCH(F$33,Data!$C$14:$C$30,0))/INDEX(Data!$E$14:$E$30,MATCH(F$33-1,Data!$C$14:$C$30,0))</f>
        <v>1.0305556768082411</v>
      </c>
      <c r="G36" s="496">
        <f>INDEX(Data!$E$14:$E$30,MATCH(G$33,Data!$C$14:$C$30,0))/INDEX(Data!$E$14:$E$30,MATCH(G$33-1,Data!$C$14:$C$30,0))</f>
        <v>1.0258870204865376</v>
      </c>
      <c r="H36" s="496">
        <f>INDEX(Data!$E$14:$E$30,MATCH(H$33,Data!$C$14:$C$30,0))/INDEX(Data!$E$14:$E$30,MATCH(H$33-1,Data!$C$14:$C$30,0))</f>
        <v>1.0121271759300676</v>
      </c>
      <c r="I36" s="496">
        <f>INDEX(Data!$E$14:$E$30,MATCH(I$33,Data!$C$14:$C$30,0))/INDEX(Data!$E$14:$E$30,MATCH(I$33-1,Data!$C$14:$C$30,0))</f>
        <v>1.0265</v>
      </c>
      <c r="J36" s="496">
        <f>INDEX(Data!$E$14:$E$30,MATCH(J$33,Data!$C$14:$C$30,0))/INDEX(Data!$E$14:$E$30,MATCH(J$33-1,Data!$C$14:$C$30,0))</f>
        <v>1.0307500000000001</v>
      </c>
    </row>
    <row r="37" spans="2:14" ht="15.75" customHeight="1">
      <c r="B37" s="14" t="s">
        <v>273</v>
      </c>
      <c r="F37" s="519"/>
      <c r="N37" s="31"/>
    </row>
    <row r="38" spans="2:14">
      <c r="C38" s="512" t="s">
        <v>274</v>
      </c>
      <c r="D38" s="117">
        <v>2017</v>
      </c>
      <c r="E38" s="118">
        <f t="shared" ref="E38:J38" si="2">D38+1</f>
        <v>2018</v>
      </c>
      <c r="F38" s="118">
        <f t="shared" si="2"/>
        <v>2019</v>
      </c>
      <c r="G38" s="118">
        <f t="shared" si="2"/>
        <v>2020</v>
      </c>
      <c r="H38" s="118">
        <f t="shared" si="2"/>
        <v>2021</v>
      </c>
      <c r="I38" s="118">
        <f t="shared" si="2"/>
        <v>2022</v>
      </c>
      <c r="J38" s="195">
        <f t="shared" si="2"/>
        <v>2023</v>
      </c>
      <c r="K38" s="973" t="s">
        <v>370</v>
      </c>
      <c r="L38" s="973"/>
      <c r="M38" s="973"/>
      <c r="N38" s="31"/>
    </row>
    <row r="39" spans="2:14">
      <c r="B39" t="s">
        <v>371</v>
      </c>
      <c r="C39" s="200"/>
      <c r="D39" s="764"/>
      <c r="E39" s="764"/>
      <c r="F39" s="764"/>
      <c r="G39" s="764"/>
      <c r="H39" s="765">
        <v>2.5000000000000001E-2</v>
      </c>
      <c r="I39" s="765">
        <v>3.1E-2</v>
      </c>
      <c r="J39" s="766">
        <v>0.03</v>
      </c>
      <c r="K39" s="974" t="s">
        <v>573</v>
      </c>
      <c r="L39" s="974"/>
      <c r="M39" s="974"/>
      <c r="N39" s="1006"/>
    </row>
    <row r="40" spans="2:14">
      <c r="N40" s="31"/>
    </row>
    <row r="41" spans="2:14">
      <c r="B41" s="14" t="s">
        <v>275</v>
      </c>
    </row>
    <row r="42" spans="2:14">
      <c r="C42" s="511" t="s">
        <v>276</v>
      </c>
      <c r="D42" s="117">
        <v>2017</v>
      </c>
      <c r="E42" s="118">
        <f t="shared" ref="E42:J42" si="3">D42+1</f>
        <v>2018</v>
      </c>
      <c r="F42" s="118">
        <f t="shared" si="3"/>
        <v>2019</v>
      </c>
      <c r="G42" s="118">
        <f t="shared" si="3"/>
        <v>2020</v>
      </c>
      <c r="H42" s="118">
        <f t="shared" si="3"/>
        <v>2021</v>
      </c>
      <c r="I42" s="118">
        <f t="shared" si="3"/>
        <v>2022</v>
      </c>
      <c r="J42" s="195">
        <f t="shared" si="3"/>
        <v>2023</v>
      </c>
    </row>
    <row r="43" spans="2:14">
      <c r="B43" t="s">
        <v>277</v>
      </c>
      <c r="D43" s="572"/>
      <c r="E43" s="573"/>
      <c r="F43" s="573"/>
      <c r="G43" s="573"/>
      <c r="H43" s="573"/>
      <c r="I43" s="767">
        <f>(H39*0.75)+(I39*0.25)</f>
        <v>2.6500000000000003E-2</v>
      </c>
      <c r="J43" s="768">
        <f>(I39*0.75)+(J39*0.25)</f>
        <v>3.075E-2</v>
      </c>
    </row>
    <row r="45" spans="2:14">
      <c r="B45" s="315" t="str">
        <f>"Selected Capitalisation rates for "&amp;'RFPR cover'!C5</f>
        <v>Selected Capitalisation rates for SPD</v>
      </c>
      <c r="C45" s="271"/>
      <c r="D45" s="271"/>
      <c r="E45" s="271"/>
      <c r="F45" s="271"/>
      <c r="G45" s="271"/>
      <c r="H45" s="271"/>
      <c r="I45" s="271"/>
      <c r="J45" s="271"/>
      <c r="K45" s="271"/>
      <c r="L45" s="271"/>
      <c r="M45" s="284"/>
    </row>
    <row r="46" spans="2:14">
      <c r="B46" s="201"/>
      <c r="C46" s="42"/>
      <c r="D46" s="42"/>
      <c r="E46" s="42"/>
      <c r="F46" s="42"/>
      <c r="G46" s="42"/>
      <c r="H46" s="42"/>
      <c r="I46" s="42"/>
      <c r="J46" s="42"/>
      <c r="K46" s="42"/>
      <c r="L46" s="42"/>
      <c r="M46" s="202"/>
    </row>
    <row r="47" spans="2:14">
      <c r="B47" s="201"/>
      <c r="C47" s="314" t="s">
        <v>250</v>
      </c>
      <c r="D47" s="42"/>
      <c r="E47" s="42"/>
      <c r="F47" s="42"/>
      <c r="G47" s="42"/>
      <c r="H47" s="42"/>
      <c r="I47" s="42"/>
      <c r="J47" s="42"/>
      <c r="K47" s="42"/>
      <c r="L47" s="42"/>
      <c r="M47" s="202"/>
    </row>
    <row r="48" spans="2:14">
      <c r="B48" s="317" t="str">
        <f>INDEX($G$54:$G$57,MATCH(LEFT('RFPR cover'!$C$6,2),Data!$E$54:$E$57,0),0)</f>
        <v>Totex</v>
      </c>
      <c r="C48" s="313">
        <f>INDEX($F$73:$F$100,MATCH('RFPR cover'!$C$5,Data!$B$73:$B$100,0),0)</f>
        <v>0.8</v>
      </c>
      <c r="D48" s="42"/>
      <c r="E48" s="42"/>
      <c r="F48" s="42"/>
      <c r="G48" s="42"/>
      <c r="H48" s="42"/>
      <c r="I48" s="42"/>
      <c r="J48" s="42"/>
      <c r="K48" s="42"/>
      <c r="L48" s="42"/>
      <c r="M48" s="202"/>
    </row>
    <row r="49" spans="2:20">
      <c r="B49" s="318"/>
      <c r="C49" s="42"/>
      <c r="D49" s="42"/>
      <c r="E49" s="42"/>
      <c r="F49" s="42"/>
      <c r="G49" s="42"/>
      <c r="H49" s="42"/>
      <c r="I49" s="42"/>
      <c r="J49" s="42"/>
      <c r="K49" s="42"/>
      <c r="L49" s="42"/>
      <c r="M49" s="202"/>
    </row>
    <row r="50" spans="2:20">
      <c r="B50" s="318"/>
      <c r="C50" s="90">
        <v>2014</v>
      </c>
      <c r="D50" s="91">
        <f t="shared" ref="D50:J50" si="4">C50+1</f>
        <v>2015</v>
      </c>
      <c r="E50" s="91">
        <f t="shared" si="4"/>
        <v>2016</v>
      </c>
      <c r="F50" s="91">
        <f t="shared" si="4"/>
        <v>2017</v>
      </c>
      <c r="G50" s="91">
        <f t="shared" si="4"/>
        <v>2018</v>
      </c>
      <c r="H50" s="91">
        <f t="shared" si="4"/>
        <v>2019</v>
      </c>
      <c r="I50" s="91">
        <f t="shared" si="4"/>
        <v>2020</v>
      </c>
      <c r="J50" s="91">
        <f t="shared" si="4"/>
        <v>2021</v>
      </c>
      <c r="K50" s="42"/>
      <c r="L50" s="42"/>
      <c r="M50" s="202"/>
    </row>
    <row r="51" spans="2:20">
      <c r="B51" s="317" t="str">
        <f>INDEX($J$54:$J$57,MATCH(LEFT('RFPR cover'!$C$6,2),Data!$E$54:$E$57,0),0)</f>
        <v>n/a</v>
      </c>
      <c r="C51" s="319">
        <f>IFERROR(INDEX(C$106:C$115,MATCH('RFPR cover'!$C$5,Data!$B$106:$B$115,0),0),0)</f>
        <v>0</v>
      </c>
      <c r="D51" s="301">
        <f>IFERROR(INDEX(D$106:D$115,MATCH('RFPR cover'!$C$5,Data!$B$106:$B$115,0),0),0)</f>
        <v>0</v>
      </c>
      <c r="E51" s="301">
        <f>IFERROR(INDEX(E$106:E$115,MATCH('RFPR cover'!$C$5,Data!$B$106:$B$115,0),0),0)</f>
        <v>0</v>
      </c>
      <c r="F51" s="301">
        <f>IFERROR(INDEX(F$106:F$115,MATCH('RFPR cover'!$C$5,Data!$B$106:$B$115,0),0),0)</f>
        <v>0</v>
      </c>
      <c r="G51" s="301">
        <f>IFERROR(INDEX(G$106:G$115,MATCH('RFPR cover'!$C$5,Data!$B$106:$B$115,0),0),0)</f>
        <v>0</v>
      </c>
      <c r="H51" s="301">
        <f>IFERROR(INDEX(H$106:H$115,MATCH('RFPR cover'!$C$5,Data!$B$106:$B$115,0),0),0)</f>
        <v>0</v>
      </c>
      <c r="I51" s="301">
        <f>IFERROR(INDEX(I$106:I$115,MATCH('RFPR cover'!$C$5,Data!$B$106:$B$115,0),0),0)</f>
        <v>0</v>
      </c>
      <c r="J51" s="301">
        <f>IFERROR(INDEX(J$106:J$115,MATCH('RFPR cover'!$C$5,Data!$B$106:$B$115,0),0),0)</f>
        <v>0</v>
      </c>
      <c r="K51" s="42"/>
      <c r="L51" s="42"/>
      <c r="M51" s="202"/>
    </row>
    <row r="52" spans="2:20">
      <c r="B52" s="295"/>
      <c r="C52" s="296"/>
      <c r="D52" s="296"/>
      <c r="E52" s="296"/>
      <c r="F52" s="296"/>
      <c r="G52" s="296"/>
      <c r="H52" s="296"/>
      <c r="I52" s="296"/>
      <c r="J52" s="296"/>
      <c r="K52" s="296"/>
      <c r="L52" s="296"/>
      <c r="M52" s="297"/>
    </row>
    <row r="53" spans="2:20">
      <c r="B53" s="42"/>
      <c r="C53" s="42"/>
      <c r="D53" s="42"/>
      <c r="E53" s="42"/>
      <c r="F53" s="42"/>
      <c r="G53" s="42"/>
      <c r="H53" s="42"/>
      <c r="I53" s="42"/>
      <c r="J53" s="42"/>
      <c r="K53" s="42"/>
    </row>
    <row r="54" spans="2:20">
      <c r="B54" s="305"/>
      <c r="C54" s="305"/>
      <c r="E54" s="302" t="s">
        <v>171</v>
      </c>
      <c r="F54" s="331" t="s">
        <v>158</v>
      </c>
      <c r="G54" s="978" t="s">
        <v>251</v>
      </c>
      <c r="H54" s="979"/>
      <c r="I54" s="980"/>
      <c r="J54" s="987" t="s">
        <v>253</v>
      </c>
      <c r="K54" s="988"/>
    </row>
    <row r="55" spans="2:20">
      <c r="B55" s="305"/>
      <c r="C55" s="305"/>
      <c r="E55" s="303" t="s">
        <v>173</v>
      </c>
      <c r="F55" s="332" t="s">
        <v>183</v>
      </c>
      <c r="G55" s="981" t="s">
        <v>251</v>
      </c>
      <c r="H55" s="982"/>
      <c r="I55" s="983"/>
      <c r="J55" s="989" t="s">
        <v>253</v>
      </c>
      <c r="K55" s="990"/>
    </row>
    <row r="56" spans="2:20">
      <c r="B56" s="305"/>
      <c r="C56" s="305"/>
      <c r="E56" s="303" t="s">
        <v>172</v>
      </c>
      <c r="F56" s="332" t="s">
        <v>183</v>
      </c>
      <c r="G56" s="981" t="s">
        <v>242</v>
      </c>
      <c r="H56" s="982"/>
      <c r="I56" s="983"/>
      <c r="J56" s="989" t="s">
        <v>243</v>
      </c>
      <c r="K56" s="990"/>
    </row>
    <row r="57" spans="2:20">
      <c r="B57" s="305"/>
      <c r="C57" s="305"/>
      <c r="E57" s="304" t="s">
        <v>174</v>
      </c>
      <c r="F57" s="333" t="s">
        <v>183</v>
      </c>
      <c r="G57" s="984" t="s">
        <v>252</v>
      </c>
      <c r="H57" s="985"/>
      <c r="I57" s="986"/>
      <c r="J57" s="991" t="s">
        <v>254</v>
      </c>
      <c r="K57" s="992"/>
    </row>
    <row r="58" spans="2:20">
      <c r="B58" s="305"/>
      <c r="C58" s="305"/>
      <c r="E58" s="305"/>
      <c r="F58" s="446"/>
      <c r="G58" s="447"/>
      <c r="H58" s="447"/>
      <c r="I58" s="447"/>
      <c r="J58" s="448"/>
      <c r="K58" s="448"/>
    </row>
    <row r="59" spans="2:20">
      <c r="B59" s="449"/>
      <c r="C59" s="449"/>
      <c r="D59" s="217"/>
      <c r="E59" s="449"/>
      <c r="F59" s="450"/>
      <c r="G59" s="451"/>
      <c r="H59" s="451"/>
      <c r="I59" s="451"/>
      <c r="J59" s="452"/>
      <c r="K59" s="452"/>
      <c r="L59" s="217"/>
      <c r="M59" s="217"/>
      <c r="N59" s="217"/>
      <c r="O59" s="217"/>
      <c r="P59" s="217"/>
      <c r="Q59" s="217"/>
      <c r="R59" s="217"/>
      <c r="S59" s="217"/>
      <c r="T59" s="217"/>
    </row>
    <row r="60" spans="2:20" s="31" customFormat="1">
      <c r="B60" s="400"/>
      <c r="C60" s="400"/>
      <c r="E60" s="400"/>
      <c r="F60" s="453"/>
      <c r="G60" s="454"/>
      <c r="H60" s="454"/>
      <c r="I60" s="454"/>
      <c r="J60" s="455"/>
      <c r="K60" s="455"/>
    </row>
    <row r="61" spans="2:20">
      <c r="B61" s="445" t="s">
        <v>349</v>
      </c>
      <c r="C61" s="43"/>
      <c r="I61" s="67"/>
    </row>
    <row r="62" spans="2:20">
      <c r="C62" s="117">
        <v>2014</v>
      </c>
      <c r="D62" s="118">
        <f t="shared" ref="D62:L62" si="5">C62+1</f>
        <v>2015</v>
      </c>
      <c r="E62" s="118">
        <f t="shared" si="5"/>
        <v>2016</v>
      </c>
      <c r="F62" s="118">
        <f t="shared" si="5"/>
        <v>2017</v>
      </c>
      <c r="G62" s="118">
        <f t="shared" si="5"/>
        <v>2018</v>
      </c>
      <c r="H62" s="118">
        <f t="shared" si="5"/>
        <v>2019</v>
      </c>
      <c r="I62" s="118">
        <f t="shared" si="5"/>
        <v>2020</v>
      </c>
      <c r="J62" s="118">
        <f t="shared" si="5"/>
        <v>2021</v>
      </c>
      <c r="K62" s="118">
        <f t="shared" si="5"/>
        <v>2022</v>
      </c>
      <c r="L62" s="195">
        <f t="shared" si="5"/>
        <v>2023</v>
      </c>
    </row>
    <row r="63" spans="2:20">
      <c r="B63" s="442" t="s">
        <v>347</v>
      </c>
      <c r="C63" s="568"/>
      <c r="D63" s="569"/>
      <c r="E63" s="440">
        <v>2.5499999999999998E-2</v>
      </c>
      <c r="F63" s="440">
        <v>2.3799999999999998E-2</v>
      </c>
      <c r="G63" s="440">
        <v>2.2200000000000001E-2</v>
      </c>
      <c r="H63" s="440">
        <v>1.9099999999999999E-2</v>
      </c>
      <c r="I63" s="440">
        <v>1.5800000000000002E-2</v>
      </c>
      <c r="J63" s="440">
        <v>1.09E-2</v>
      </c>
      <c r="K63" s="440">
        <v>7.6E-3</v>
      </c>
      <c r="L63" s="441">
        <v>4.4000000000000003E-3</v>
      </c>
    </row>
    <row r="64" spans="2:20">
      <c r="B64" s="443" t="s">
        <v>334</v>
      </c>
      <c r="C64" s="556"/>
      <c r="D64" s="557"/>
      <c r="E64" s="402">
        <v>2.5499999999999998E-2</v>
      </c>
      <c r="F64" s="402">
        <v>2.4199999999999999E-2</v>
      </c>
      <c r="G64" s="402">
        <v>2.29E-2</v>
      </c>
      <c r="H64" s="402">
        <v>2.0899999999999998E-2</v>
      </c>
      <c r="I64" s="402">
        <v>1.9400000000000001E-2</v>
      </c>
      <c r="J64" s="402">
        <v>1.78E-2</v>
      </c>
      <c r="K64" s="402">
        <v>1.6199999999999999E-2</v>
      </c>
      <c r="L64" s="405">
        <v>1.47E-2</v>
      </c>
    </row>
    <row r="65" spans="1:20">
      <c r="B65" s="443" t="s">
        <v>61</v>
      </c>
      <c r="C65" s="401">
        <v>2.92E-2</v>
      </c>
      <c r="D65" s="402">
        <v>2.5000000000000001E-2</v>
      </c>
      <c r="E65" s="402">
        <v>2.1499999999999998E-2</v>
      </c>
      <c r="F65" s="402">
        <v>1.7899999999999999E-2</v>
      </c>
      <c r="G65" s="402">
        <v>1.5100000000000001E-2</v>
      </c>
      <c r="H65" s="402">
        <v>1.1599999999999999E-2</v>
      </c>
      <c r="I65" s="402">
        <v>1.0200000000000001E-2</v>
      </c>
      <c r="J65" s="402">
        <v>7.6E-3</v>
      </c>
      <c r="K65" s="570"/>
      <c r="L65" s="571"/>
    </row>
    <row r="66" spans="1:20">
      <c r="B66" s="443" t="s">
        <v>348</v>
      </c>
      <c r="C66" s="438">
        <v>2.92E-2</v>
      </c>
      <c r="D66" s="439">
        <v>2.7199999999999998E-2</v>
      </c>
      <c r="E66" s="439">
        <v>2.5499999999999998E-2</v>
      </c>
      <c r="F66" s="439">
        <v>2.3800000000000002E-2</v>
      </c>
      <c r="G66" s="439">
        <v>2.2200000000000001E-2</v>
      </c>
      <c r="H66" s="439">
        <v>1.9099999999999999E-2</v>
      </c>
      <c r="I66" s="439">
        <v>1.5800000000000002E-2</v>
      </c>
      <c r="J66" s="439">
        <v>1.09E-2</v>
      </c>
      <c r="K66" s="557"/>
      <c r="L66" s="558"/>
    </row>
    <row r="67" spans="1:20">
      <c r="B67" s="443" t="s">
        <v>172</v>
      </c>
      <c r="C67" s="401">
        <v>2.92E-2</v>
      </c>
      <c r="D67" s="402">
        <v>2.7199999999999998E-2</v>
      </c>
      <c r="E67" s="402">
        <v>2.5499999999999998E-2</v>
      </c>
      <c r="F67" s="402">
        <v>2.3800000000000002E-2</v>
      </c>
      <c r="G67" s="402">
        <v>2.2200000000000001E-2</v>
      </c>
      <c r="H67" s="439">
        <v>1.9099999999999999E-2</v>
      </c>
      <c r="I67" s="439">
        <v>1.5800000000000002E-2</v>
      </c>
      <c r="J67" s="439">
        <v>1.09E-2</v>
      </c>
      <c r="K67" s="557"/>
      <c r="L67" s="558"/>
    </row>
    <row r="68" spans="1:20">
      <c r="B68" s="444" t="s">
        <v>174</v>
      </c>
      <c r="C68" s="403">
        <v>2.92E-2</v>
      </c>
      <c r="D68" s="404">
        <v>2.7199999999999998E-2</v>
      </c>
      <c r="E68" s="404">
        <v>2.5499999999999998E-2</v>
      </c>
      <c r="F68" s="404">
        <v>2.3800000000000002E-2</v>
      </c>
      <c r="G68" s="404">
        <v>2.2200000000000001E-2</v>
      </c>
      <c r="H68" s="404">
        <v>1.9099999999999999E-2</v>
      </c>
      <c r="I68" s="404">
        <v>1.5800000000000002E-2</v>
      </c>
      <c r="J68" s="404">
        <v>1.09E-2</v>
      </c>
      <c r="K68" s="559"/>
      <c r="L68" s="560"/>
    </row>
    <row r="69" spans="1:20">
      <c r="I69" s="67"/>
    </row>
    <row r="70" spans="1:20">
      <c r="H70" s="67"/>
      <c r="K70" s="42"/>
      <c r="L70" s="42"/>
      <c r="M70" s="42"/>
      <c r="N70" s="42"/>
      <c r="O70" s="42"/>
      <c r="P70" s="42"/>
      <c r="Q70" s="42"/>
      <c r="R70" s="42"/>
      <c r="S70" s="42"/>
      <c r="T70" s="42"/>
    </row>
    <row r="71" spans="1:20" ht="38.25">
      <c r="B71" s="22"/>
      <c r="C71" s="74" t="s">
        <v>249</v>
      </c>
      <c r="D71" s="75" t="s">
        <v>211</v>
      </c>
      <c r="E71" s="75" t="s">
        <v>72</v>
      </c>
      <c r="F71" s="75" t="s">
        <v>272</v>
      </c>
      <c r="G71" s="75" t="s">
        <v>116</v>
      </c>
      <c r="H71" s="76" t="s">
        <v>185</v>
      </c>
      <c r="I71" s="330" t="s">
        <v>267</v>
      </c>
      <c r="J71" s="330" t="s">
        <v>467</v>
      </c>
      <c r="K71" s="975" t="s">
        <v>343</v>
      </c>
      <c r="L71" s="976"/>
      <c r="M71" s="976"/>
      <c r="N71" s="976"/>
      <c r="O71" s="976"/>
      <c r="P71" s="976"/>
      <c r="Q71" s="976"/>
      <c r="R71" s="976"/>
      <c r="S71" s="976"/>
      <c r="T71" s="977"/>
    </row>
    <row r="72" spans="1:20">
      <c r="A72" s="334" t="s">
        <v>188</v>
      </c>
      <c r="B72" s="68" t="s">
        <v>69</v>
      </c>
      <c r="C72" s="306"/>
      <c r="D72" s="70"/>
      <c r="E72" s="69"/>
      <c r="F72" s="69"/>
      <c r="G72" s="70"/>
      <c r="H72" s="71"/>
      <c r="I72" s="71"/>
      <c r="J72" s="425"/>
      <c r="K72" s="426">
        <v>2014</v>
      </c>
      <c r="L72" s="427">
        <f t="shared" ref="L72:T72" si="6">K72+1</f>
        <v>2015</v>
      </c>
      <c r="M72" s="427">
        <f t="shared" si="6"/>
        <v>2016</v>
      </c>
      <c r="N72" s="427">
        <f t="shared" si="6"/>
        <v>2017</v>
      </c>
      <c r="O72" s="427">
        <f t="shared" si="6"/>
        <v>2018</v>
      </c>
      <c r="P72" s="427">
        <f t="shared" si="6"/>
        <v>2019</v>
      </c>
      <c r="Q72" s="427">
        <f t="shared" si="6"/>
        <v>2020</v>
      </c>
      <c r="R72" s="427">
        <f t="shared" si="6"/>
        <v>2021</v>
      </c>
      <c r="S72" s="427">
        <f t="shared" si="6"/>
        <v>2022</v>
      </c>
      <c r="T72" s="428">
        <f t="shared" si="6"/>
        <v>2023</v>
      </c>
    </row>
    <row r="73" spans="1:20">
      <c r="A73" s="60" t="s">
        <v>171</v>
      </c>
      <c r="B73" s="72" t="s">
        <v>43</v>
      </c>
      <c r="C73" s="307">
        <v>0.06</v>
      </c>
      <c r="D73" s="308">
        <v>0.58109999999999995</v>
      </c>
      <c r="E73" s="309">
        <v>0.65</v>
      </c>
      <c r="F73" s="309">
        <v>0.68</v>
      </c>
      <c r="G73" s="340">
        <v>2016</v>
      </c>
      <c r="H73" s="341" t="str">
        <f t="shared" ref="H73:H97" si="7">VLOOKUP($A73,$E$54:$F$57,2,FALSE)</f>
        <v>£m 12/13</v>
      </c>
      <c r="I73" s="341" t="s">
        <v>268</v>
      </c>
      <c r="J73" s="425" t="s">
        <v>468</v>
      </c>
      <c r="K73" s="556"/>
      <c r="L73" s="557"/>
      <c r="M73" s="433">
        <f t="shared" ref="M73:M82" si="8">E$64</f>
        <v>2.5499999999999998E-2</v>
      </c>
      <c r="N73" s="433">
        <f t="shared" ref="N73:N82" si="9">F$64</f>
        <v>2.4199999999999999E-2</v>
      </c>
      <c r="O73" s="433">
        <f t="shared" ref="O73:O82" si="10">G$64</f>
        <v>2.29E-2</v>
      </c>
      <c r="P73" s="433">
        <f t="shared" ref="P73:P82" si="11">H$64</f>
        <v>2.0899999999999998E-2</v>
      </c>
      <c r="Q73" s="433">
        <f t="shared" ref="Q73:Q82" si="12">I$64</f>
        <v>1.9400000000000001E-2</v>
      </c>
      <c r="R73" s="433">
        <f t="shared" ref="R73:R82" si="13">J$64</f>
        <v>1.78E-2</v>
      </c>
      <c r="S73" s="433">
        <f t="shared" ref="S73:S82" si="14">K$64</f>
        <v>1.6199999999999999E-2</v>
      </c>
      <c r="T73" s="437">
        <f t="shared" ref="T73:T82" si="15">L$64</f>
        <v>1.47E-2</v>
      </c>
    </row>
    <row r="74" spans="1:20">
      <c r="A74" s="60" t="s">
        <v>171</v>
      </c>
      <c r="B74" s="72" t="s">
        <v>44</v>
      </c>
      <c r="C74" s="307">
        <v>0.06</v>
      </c>
      <c r="D74" s="308">
        <v>0.55843703457782867</v>
      </c>
      <c r="E74" s="309">
        <v>0.65</v>
      </c>
      <c r="F74" s="309">
        <v>0.7</v>
      </c>
      <c r="G74" s="340">
        <v>2016</v>
      </c>
      <c r="H74" s="341" t="str">
        <f t="shared" si="7"/>
        <v>£m 12/13</v>
      </c>
      <c r="I74" s="341" t="s">
        <v>268</v>
      </c>
      <c r="J74" s="425" t="s">
        <v>468</v>
      </c>
      <c r="K74" s="556"/>
      <c r="L74" s="557"/>
      <c r="M74" s="433">
        <f t="shared" si="8"/>
        <v>2.5499999999999998E-2</v>
      </c>
      <c r="N74" s="433">
        <f t="shared" si="9"/>
        <v>2.4199999999999999E-2</v>
      </c>
      <c r="O74" s="433">
        <f t="shared" si="10"/>
        <v>2.29E-2</v>
      </c>
      <c r="P74" s="433">
        <f t="shared" si="11"/>
        <v>2.0899999999999998E-2</v>
      </c>
      <c r="Q74" s="433">
        <f t="shared" si="12"/>
        <v>1.9400000000000001E-2</v>
      </c>
      <c r="R74" s="433">
        <f t="shared" si="13"/>
        <v>1.78E-2</v>
      </c>
      <c r="S74" s="433">
        <f t="shared" si="14"/>
        <v>1.6199999999999999E-2</v>
      </c>
      <c r="T74" s="437">
        <f t="shared" si="15"/>
        <v>1.47E-2</v>
      </c>
    </row>
    <row r="75" spans="1:20">
      <c r="A75" s="60" t="s">
        <v>171</v>
      </c>
      <c r="B75" s="72" t="s">
        <v>73</v>
      </c>
      <c r="C75" s="307">
        <v>0.06</v>
      </c>
      <c r="D75" s="308">
        <v>0.55843703457782867</v>
      </c>
      <c r="E75" s="309">
        <v>0.65</v>
      </c>
      <c r="F75" s="309">
        <v>0.72</v>
      </c>
      <c r="G75" s="340">
        <v>2016</v>
      </c>
      <c r="H75" s="341" t="str">
        <f t="shared" si="7"/>
        <v>£m 12/13</v>
      </c>
      <c r="I75" s="341" t="s">
        <v>268</v>
      </c>
      <c r="J75" s="425" t="s">
        <v>468</v>
      </c>
      <c r="K75" s="556"/>
      <c r="L75" s="557"/>
      <c r="M75" s="433">
        <f t="shared" si="8"/>
        <v>2.5499999999999998E-2</v>
      </c>
      <c r="N75" s="433">
        <f t="shared" si="9"/>
        <v>2.4199999999999999E-2</v>
      </c>
      <c r="O75" s="433">
        <f t="shared" si="10"/>
        <v>2.29E-2</v>
      </c>
      <c r="P75" s="433">
        <f t="shared" si="11"/>
        <v>2.0899999999999998E-2</v>
      </c>
      <c r="Q75" s="433">
        <f t="shared" si="12"/>
        <v>1.9400000000000001E-2</v>
      </c>
      <c r="R75" s="433">
        <f t="shared" si="13"/>
        <v>1.78E-2</v>
      </c>
      <c r="S75" s="433">
        <f t="shared" si="14"/>
        <v>1.6199999999999999E-2</v>
      </c>
      <c r="T75" s="437">
        <f t="shared" si="15"/>
        <v>1.47E-2</v>
      </c>
    </row>
    <row r="76" spans="1:20">
      <c r="A76" s="60" t="s">
        <v>171</v>
      </c>
      <c r="B76" s="72" t="s">
        <v>59</v>
      </c>
      <c r="C76" s="307">
        <v>0.06</v>
      </c>
      <c r="D76" s="308">
        <v>0.53280000000000005</v>
      </c>
      <c r="E76" s="309">
        <v>0.65</v>
      </c>
      <c r="F76" s="309">
        <v>0.68</v>
      </c>
      <c r="G76" s="340">
        <v>2016</v>
      </c>
      <c r="H76" s="341" t="str">
        <f t="shared" si="7"/>
        <v>£m 12/13</v>
      </c>
      <c r="I76" s="341" t="s">
        <v>268</v>
      </c>
      <c r="J76" s="425" t="s">
        <v>468</v>
      </c>
      <c r="K76" s="556"/>
      <c r="L76" s="557"/>
      <c r="M76" s="433">
        <f t="shared" si="8"/>
        <v>2.5499999999999998E-2</v>
      </c>
      <c r="N76" s="433">
        <f t="shared" si="9"/>
        <v>2.4199999999999999E-2</v>
      </c>
      <c r="O76" s="433">
        <f t="shared" si="10"/>
        <v>2.29E-2</v>
      </c>
      <c r="P76" s="433">
        <f t="shared" si="11"/>
        <v>2.0899999999999998E-2</v>
      </c>
      <c r="Q76" s="433">
        <f t="shared" si="12"/>
        <v>1.9400000000000001E-2</v>
      </c>
      <c r="R76" s="433">
        <f t="shared" si="13"/>
        <v>1.78E-2</v>
      </c>
      <c r="S76" s="433">
        <f t="shared" si="14"/>
        <v>1.6199999999999999E-2</v>
      </c>
      <c r="T76" s="437">
        <f t="shared" si="15"/>
        <v>1.47E-2</v>
      </c>
    </row>
    <row r="77" spans="1:20">
      <c r="A77" s="60" t="s">
        <v>171</v>
      </c>
      <c r="B77" s="72" t="s">
        <v>57</v>
      </c>
      <c r="C77" s="307">
        <v>0.06</v>
      </c>
      <c r="D77" s="308">
        <v>0.53280000000000005</v>
      </c>
      <c r="E77" s="309">
        <v>0.65</v>
      </c>
      <c r="F77" s="309">
        <v>0.68</v>
      </c>
      <c r="G77" s="340">
        <v>2016</v>
      </c>
      <c r="H77" s="341" t="str">
        <f t="shared" si="7"/>
        <v>£m 12/13</v>
      </c>
      <c r="I77" s="341" t="s">
        <v>268</v>
      </c>
      <c r="J77" s="425" t="s">
        <v>468</v>
      </c>
      <c r="K77" s="556"/>
      <c r="L77" s="557"/>
      <c r="M77" s="433">
        <f t="shared" si="8"/>
        <v>2.5499999999999998E-2</v>
      </c>
      <c r="N77" s="433">
        <f t="shared" si="9"/>
        <v>2.4199999999999999E-2</v>
      </c>
      <c r="O77" s="433">
        <f t="shared" si="10"/>
        <v>2.29E-2</v>
      </c>
      <c r="P77" s="433">
        <f t="shared" si="11"/>
        <v>2.0899999999999998E-2</v>
      </c>
      <c r="Q77" s="433">
        <f t="shared" si="12"/>
        <v>1.9400000000000001E-2</v>
      </c>
      <c r="R77" s="433">
        <f t="shared" si="13"/>
        <v>1.78E-2</v>
      </c>
      <c r="S77" s="433">
        <f t="shared" si="14"/>
        <v>1.6199999999999999E-2</v>
      </c>
      <c r="T77" s="437">
        <f t="shared" si="15"/>
        <v>1.47E-2</v>
      </c>
    </row>
    <row r="78" spans="1:20">
      <c r="A78" s="60" t="s">
        <v>171</v>
      </c>
      <c r="B78" s="72" t="s">
        <v>58</v>
      </c>
      <c r="C78" s="307">
        <v>0.06</v>
      </c>
      <c r="D78" s="308">
        <v>0.53280000000000005</v>
      </c>
      <c r="E78" s="309">
        <v>0.65</v>
      </c>
      <c r="F78" s="309">
        <v>0.68</v>
      </c>
      <c r="G78" s="340">
        <v>2016</v>
      </c>
      <c r="H78" s="341" t="str">
        <f t="shared" si="7"/>
        <v>£m 12/13</v>
      </c>
      <c r="I78" s="341" t="s">
        <v>268</v>
      </c>
      <c r="J78" s="425" t="s">
        <v>468</v>
      </c>
      <c r="K78" s="556"/>
      <c r="L78" s="557"/>
      <c r="M78" s="433">
        <f t="shared" si="8"/>
        <v>2.5499999999999998E-2</v>
      </c>
      <c r="N78" s="433">
        <f t="shared" si="9"/>
        <v>2.4199999999999999E-2</v>
      </c>
      <c r="O78" s="433">
        <f t="shared" si="10"/>
        <v>2.29E-2</v>
      </c>
      <c r="P78" s="433">
        <f t="shared" si="11"/>
        <v>2.0899999999999998E-2</v>
      </c>
      <c r="Q78" s="433">
        <f t="shared" si="12"/>
        <v>1.9400000000000001E-2</v>
      </c>
      <c r="R78" s="433">
        <f t="shared" si="13"/>
        <v>1.78E-2</v>
      </c>
      <c r="S78" s="433">
        <f t="shared" si="14"/>
        <v>1.6199999999999999E-2</v>
      </c>
      <c r="T78" s="437">
        <f t="shared" si="15"/>
        <v>1.47E-2</v>
      </c>
    </row>
    <row r="79" spans="1:20">
      <c r="A79" s="60" t="s">
        <v>171</v>
      </c>
      <c r="B79" s="72" t="s">
        <v>45</v>
      </c>
      <c r="C79" s="307">
        <v>0.06</v>
      </c>
      <c r="D79" s="308">
        <v>0.53500000000000003</v>
      </c>
      <c r="E79" s="309">
        <v>0.65</v>
      </c>
      <c r="F79" s="309">
        <v>0.8</v>
      </c>
      <c r="G79" s="340">
        <v>2016</v>
      </c>
      <c r="H79" s="341" t="str">
        <f t="shared" si="7"/>
        <v>£m 12/13</v>
      </c>
      <c r="I79" s="341" t="s">
        <v>268</v>
      </c>
      <c r="J79" s="425" t="s">
        <v>468</v>
      </c>
      <c r="K79" s="556"/>
      <c r="L79" s="557"/>
      <c r="M79" s="433">
        <f t="shared" si="8"/>
        <v>2.5499999999999998E-2</v>
      </c>
      <c r="N79" s="433">
        <f t="shared" si="9"/>
        <v>2.4199999999999999E-2</v>
      </c>
      <c r="O79" s="433">
        <f t="shared" si="10"/>
        <v>2.29E-2</v>
      </c>
      <c r="P79" s="433">
        <f t="shared" si="11"/>
        <v>2.0899999999999998E-2</v>
      </c>
      <c r="Q79" s="433">
        <f t="shared" si="12"/>
        <v>1.9400000000000001E-2</v>
      </c>
      <c r="R79" s="433">
        <f t="shared" si="13"/>
        <v>1.78E-2</v>
      </c>
      <c r="S79" s="433">
        <f t="shared" si="14"/>
        <v>1.6199999999999999E-2</v>
      </c>
      <c r="T79" s="437">
        <f t="shared" si="15"/>
        <v>1.47E-2</v>
      </c>
    </row>
    <row r="80" spans="1:20">
      <c r="A80" s="60" t="s">
        <v>171</v>
      </c>
      <c r="B80" s="72" t="s">
        <v>46</v>
      </c>
      <c r="C80" s="307">
        <v>0.06</v>
      </c>
      <c r="D80" s="308">
        <v>0.53500000000000003</v>
      </c>
      <c r="E80" s="309">
        <v>0.65</v>
      </c>
      <c r="F80" s="309">
        <v>0.8</v>
      </c>
      <c r="G80" s="340">
        <v>2016</v>
      </c>
      <c r="H80" s="341" t="str">
        <f t="shared" si="7"/>
        <v>£m 12/13</v>
      </c>
      <c r="I80" s="341" t="s">
        <v>268</v>
      </c>
      <c r="J80" s="425" t="s">
        <v>468</v>
      </c>
      <c r="K80" s="556"/>
      <c r="L80" s="557"/>
      <c r="M80" s="433">
        <f t="shared" si="8"/>
        <v>2.5499999999999998E-2</v>
      </c>
      <c r="N80" s="433">
        <f t="shared" si="9"/>
        <v>2.4199999999999999E-2</v>
      </c>
      <c r="O80" s="433">
        <f t="shared" si="10"/>
        <v>2.29E-2</v>
      </c>
      <c r="P80" s="433">
        <f t="shared" si="11"/>
        <v>2.0899999999999998E-2</v>
      </c>
      <c r="Q80" s="433">
        <f t="shared" si="12"/>
        <v>1.9400000000000001E-2</v>
      </c>
      <c r="R80" s="433">
        <f t="shared" si="13"/>
        <v>1.78E-2</v>
      </c>
      <c r="S80" s="433">
        <f t="shared" si="14"/>
        <v>1.6199999999999999E-2</v>
      </c>
      <c r="T80" s="437">
        <f t="shared" si="15"/>
        <v>1.47E-2</v>
      </c>
    </row>
    <row r="81" spans="1:20">
      <c r="A81" s="60" t="s">
        <v>171</v>
      </c>
      <c r="B81" s="72" t="s">
        <v>47</v>
      </c>
      <c r="C81" s="307">
        <v>0.06</v>
      </c>
      <c r="D81" s="308">
        <v>0.56469999999999998</v>
      </c>
      <c r="E81" s="309">
        <v>0.65</v>
      </c>
      <c r="F81" s="309">
        <v>0.62</v>
      </c>
      <c r="G81" s="340">
        <v>2016</v>
      </c>
      <c r="H81" s="341" t="str">
        <f t="shared" si="7"/>
        <v>£m 12/13</v>
      </c>
      <c r="I81" s="341" t="s">
        <v>268</v>
      </c>
      <c r="J81" s="425" t="s">
        <v>468</v>
      </c>
      <c r="K81" s="556"/>
      <c r="L81" s="557"/>
      <c r="M81" s="433">
        <f t="shared" si="8"/>
        <v>2.5499999999999998E-2</v>
      </c>
      <c r="N81" s="433">
        <f t="shared" si="9"/>
        <v>2.4199999999999999E-2</v>
      </c>
      <c r="O81" s="433">
        <f t="shared" si="10"/>
        <v>2.29E-2</v>
      </c>
      <c r="P81" s="433">
        <f t="shared" si="11"/>
        <v>2.0899999999999998E-2</v>
      </c>
      <c r="Q81" s="433">
        <f t="shared" si="12"/>
        <v>1.9400000000000001E-2</v>
      </c>
      <c r="R81" s="433">
        <f t="shared" si="13"/>
        <v>1.78E-2</v>
      </c>
      <c r="S81" s="433">
        <f t="shared" si="14"/>
        <v>1.6199999999999999E-2</v>
      </c>
      <c r="T81" s="437">
        <f t="shared" si="15"/>
        <v>1.47E-2</v>
      </c>
    </row>
    <row r="82" spans="1:20">
      <c r="A82" s="60" t="s">
        <v>171</v>
      </c>
      <c r="B82" s="72" t="s">
        <v>48</v>
      </c>
      <c r="C82" s="307">
        <v>0.06</v>
      </c>
      <c r="D82" s="308">
        <v>0.56469999999999998</v>
      </c>
      <c r="E82" s="309">
        <v>0.65</v>
      </c>
      <c r="F82" s="309">
        <v>0.7</v>
      </c>
      <c r="G82" s="340">
        <v>2016</v>
      </c>
      <c r="H82" s="341" t="str">
        <f t="shared" si="7"/>
        <v>£m 12/13</v>
      </c>
      <c r="I82" s="341" t="s">
        <v>268</v>
      </c>
      <c r="J82" s="425" t="s">
        <v>468</v>
      </c>
      <c r="K82" s="556"/>
      <c r="L82" s="557"/>
      <c r="M82" s="433">
        <f t="shared" si="8"/>
        <v>2.5499999999999998E-2</v>
      </c>
      <c r="N82" s="433">
        <f t="shared" si="9"/>
        <v>2.4199999999999999E-2</v>
      </c>
      <c r="O82" s="433">
        <f t="shared" si="10"/>
        <v>2.29E-2</v>
      </c>
      <c r="P82" s="433">
        <f t="shared" si="11"/>
        <v>2.0899999999999998E-2</v>
      </c>
      <c r="Q82" s="433">
        <f t="shared" si="12"/>
        <v>1.9400000000000001E-2</v>
      </c>
      <c r="R82" s="433">
        <f t="shared" si="13"/>
        <v>1.78E-2</v>
      </c>
      <c r="S82" s="433">
        <f t="shared" si="14"/>
        <v>1.6199999999999999E-2</v>
      </c>
      <c r="T82" s="437">
        <f t="shared" si="15"/>
        <v>1.47E-2</v>
      </c>
    </row>
    <row r="83" spans="1:20">
      <c r="A83" s="60" t="s">
        <v>171</v>
      </c>
      <c r="B83" s="72" t="s">
        <v>244</v>
      </c>
      <c r="C83" s="307">
        <v>6.4000000000000001E-2</v>
      </c>
      <c r="D83" s="308">
        <v>0.7</v>
      </c>
      <c r="E83" s="309">
        <v>0.65</v>
      </c>
      <c r="F83" s="309">
        <v>0.8</v>
      </c>
      <c r="G83" s="340">
        <v>2016</v>
      </c>
      <c r="H83" s="341" t="str">
        <f t="shared" si="7"/>
        <v>£m 12/13</v>
      </c>
      <c r="I83" s="341" t="s">
        <v>269</v>
      </c>
      <c r="J83" s="425" t="s">
        <v>469</v>
      </c>
      <c r="K83" s="556"/>
      <c r="L83" s="557"/>
      <c r="M83" s="433">
        <f t="shared" ref="M83:T86" si="16">E$63</f>
        <v>2.5499999999999998E-2</v>
      </c>
      <c r="N83" s="433">
        <f t="shared" si="16"/>
        <v>2.3799999999999998E-2</v>
      </c>
      <c r="O83" s="433">
        <f t="shared" si="16"/>
        <v>2.2200000000000001E-2</v>
      </c>
      <c r="P83" s="433">
        <f t="shared" si="16"/>
        <v>1.9099999999999999E-2</v>
      </c>
      <c r="Q83" s="433">
        <f t="shared" si="16"/>
        <v>1.5800000000000002E-2</v>
      </c>
      <c r="R83" s="433">
        <f t="shared" si="16"/>
        <v>1.09E-2</v>
      </c>
      <c r="S83" s="433">
        <f t="shared" si="16"/>
        <v>7.6E-3</v>
      </c>
      <c r="T83" s="437">
        <f t="shared" si="16"/>
        <v>4.4000000000000003E-3</v>
      </c>
    </row>
    <row r="84" spans="1:20">
      <c r="A84" s="60" t="s">
        <v>171</v>
      </c>
      <c r="B84" s="72" t="s">
        <v>245</v>
      </c>
      <c r="C84" s="307">
        <v>6.4000000000000001E-2</v>
      </c>
      <c r="D84" s="308">
        <v>0.7</v>
      </c>
      <c r="E84" s="309">
        <v>0.65</v>
      </c>
      <c r="F84" s="309">
        <v>0.8</v>
      </c>
      <c r="G84" s="340">
        <v>2016</v>
      </c>
      <c r="H84" s="341" t="str">
        <f t="shared" si="7"/>
        <v>£m 12/13</v>
      </c>
      <c r="I84" s="341" t="s">
        <v>269</v>
      </c>
      <c r="J84" s="425" t="s">
        <v>469</v>
      </c>
      <c r="K84" s="556"/>
      <c r="L84" s="557"/>
      <c r="M84" s="433">
        <f t="shared" si="16"/>
        <v>2.5499999999999998E-2</v>
      </c>
      <c r="N84" s="433">
        <f t="shared" si="16"/>
        <v>2.3799999999999998E-2</v>
      </c>
      <c r="O84" s="433">
        <f t="shared" si="16"/>
        <v>2.2200000000000001E-2</v>
      </c>
      <c r="P84" s="433">
        <f t="shared" si="16"/>
        <v>1.9099999999999999E-2</v>
      </c>
      <c r="Q84" s="433">
        <f t="shared" si="16"/>
        <v>1.5800000000000002E-2</v>
      </c>
      <c r="R84" s="433">
        <f t="shared" si="16"/>
        <v>1.09E-2</v>
      </c>
      <c r="S84" s="433">
        <f t="shared" si="16"/>
        <v>7.6E-3</v>
      </c>
      <c r="T84" s="437">
        <f t="shared" si="16"/>
        <v>4.4000000000000003E-3</v>
      </c>
    </row>
    <row r="85" spans="1:20">
      <c r="A85" s="60" t="s">
        <v>171</v>
      </c>
      <c r="B85" s="72" t="s">
        <v>246</v>
      </c>
      <c r="C85" s="307">
        <v>6.4000000000000001E-2</v>
      </c>
      <c r="D85" s="308">
        <v>0.7</v>
      </c>
      <c r="E85" s="309">
        <v>0.65</v>
      </c>
      <c r="F85" s="309">
        <v>0.8</v>
      </c>
      <c r="G85" s="340">
        <v>2016</v>
      </c>
      <c r="H85" s="341" t="str">
        <f t="shared" si="7"/>
        <v>£m 12/13</v>
      </c>
      <c r="I85" s="341" t="s">
        <v>269</v>
      </c>
      <c r="J85" s="425" t="s">
        <v>469</v>
      </c>
      <c r="K85" s="556"/>
      <c r="L85" s="557"/>
      <c r="M85" s="433">
        <f t="shared" si="16"/>
        <v>2.5499999999999998E-2</v>
      </c>
      <c r="N85" s="433">
        <f t="shared" si="16"/>
        <v>2.3799999999999998E-2</v>
      </c>
      <c r="O85" s="433">
        <f t="shared" si="16"/>
        <v>2.2200000000000001E-2</v>
      </c>
      <c r="P85" s="433">
        <f t="shared" si="16"/>
        <v>1.9099999999999999E-2</v>
      </c>
      <c r="Q85" s="433">
        <f t="shared" si="16"/>
        <v>1.5800000000000002E-2</v>
      </c>
      <c r="R85" s="433">
        <f t="shared" si="16"/>
        <v>1.09E-2</v>
      </c>
      <c r="S85" s="433">
        <f t="shared" si="16"/>
        <v>7.6E-3</v>
      </c>
      <c r="T85" s="437">
        <f t="shared" si="16"/>
        <v>4.4000000000000003E-3</v>
      </c>
    </row>
    <row r="86" spans="1:20">
      <c r="A86" s="60" t="s">
        <v>171</v>
      </c>
      <c r="B86" s="72" t="s">
        <v>247</v>
      </c>
      <c r="C86" s="307">
        <v>6.4000000000000001E-2</v>
      </c>
      <c r="D86" s="308">
        <v>0.7</v>
      </c>
      <c r="E86" s="309">
        <v>0.65</v>
      </c>
      <c r="F86" s="309">
        <v>0.8</v>
      </c>
      <c r="G86" s="340">
        <v>2016</v>
      </c>
      <c r="H86" s="341" t="str">
        <f t="shared" si="7"/>
        <v>£m 12/13</v>
      </c>
      <c r="I86" s="341" t="s">
        <v>269</v>
      </c>
      <c r="J86" s="425" t="s">
        <v>469</v>
      </c>
      <c r="K86" s="556"/>
      <c r="L86" s="557"/>
      <c r="M86" s="433">
        <f t="shared" si="16"/>
        <v>2.5499999999999998E-2</v>
      </c>
      <c r="N86" s="433">
        <f t="shared" si="16"/>
        <v>2.3799999999999998E-2</v>
      </c>
      <c r="O86" s="433">
        <f t="shared" si="16"/>
        <v>2.2200000000000001E-2</v>
      </c>
      <c r="P86" s="433">
        <f t="shared" si="16"/>
        <v>1.9099999999999999E-2</v>
      </c>
      <c r="Q86" s="433">
        <f t="shared" si="16"/>
        <v>1.5800000000000002E-2</v>
      </c>
      <c r="R86" s="433">
        <f t="shared" si="16"/>
        <v>1.09E-2</v>
      </c>
      <c r="S86" s="433">
        <f t="shared" si="16"/>
        <v>7.6E-3</v>
      </c>
      <c r="T86" s="437">
        <f t="shared" si="16"/>
        <v>4.4000000000000003E-3</v>
      </c>
    </row>
    <row r="87" spans="1:20">
      <c r="A87" s="60" t="s">
        <v>172</v>
      </c>
      <c r="B87" s="72" t="s">
        <v>53</v>
      </c>
      <c r="C87" s="307">
        <v>6.7000000000000004E-2</v>
      </c>
      <c r="D87" s="308">
        <v>0.63039999999999996</v>
      </c>
      <c r="E87" s="309">
        <v>0.65</v>
      </c>
      <c r="F87" s="309">
        <v>0.26634501855794862</v>
      </c>
      <c r="G87" s="340">
        <v>2014</v>
      </c>
      <c r="H87" s="341" t="str">
        <f t="shared" si="7"/>
        <v>£m 09/10</v>
      </c>
      <c r="I87" s="341" t="s">
        <v>268</v>
      </c>
      <c r="J87" s="425" t="s">
        <v>469</v>
      </c>
      <c r="K87" s="435">
        <f t="shared" ref="K87:R94" si="17">C$67</f>
        <v>2.92E-2</v>
      </c>
      <c r="L87" s="433">
        <f t="shared" si="17"/>
        <v>2.7199999999999998E-2</v>
      </c>
      <c r="M87" s="433">
        <f t="shared" si="17"/>
        <v>2.5499999999999998E-2</v>
      </c>
      <c r="N87" s="433">
        <f t="shared" si="17"/>
        <v>2.3800000000000002E-2</v>
      </c>
      <c r="O87" s="433">
        <f t="shared" si="17"/>
        <v>2.2200000000000001E-2</v>
      </c>
      <c r="P87" s="433">
        <f t="shared" si="17"/>
        <v>1.9099999999999999E-2</v>
      </c>
      <c r="Q87" s="433">
        <f t="shared" si="17"/>
        <v>1.5800000000000002E-2</v>
      </c>
      <c r="R87" s="433">
        <f t="shared" si="17"/>
        <v>1.09E-2</v>
      </c>
      <c r="S87" s="557"/>
      <c r="T87" s="558"/>
    </row>
    <row r="88" spans="1:20">
      <c r="A88" s="60" t="s">
        <v>172</v>
      </c>
      <c r="B88" s="72" t="s">
        <v>54</v>
      </c>
      <c r="C88" s="307">
        <v>6.7000000000000004E-2</v>
      </c>
      <c r="D88" s="308">
        <v>0.63039999999999996</v>
      </c>
      <c r="E88" s="309">
        <v>0.65</v>
      </c>
      <c r="F88" s="309">
        <v>0.23469337831705597</v>
      </c>
      <c r="G88" s="340">
        <v>2014</v>
      </c>
      <c r="H88" s="341" t="str">
        <f t="shared" si="7"/>
        <v>£m 09/10</v>
      </c>
      <c r="I88" s="341" t="s">
        <v>268</v>
      </c>
      <c r="J88" s="425" t="s">
        <v>469</v>
      </c>
      <c r="K88" s="435">
        <f t="shared" si="17"/>
        <v>2.92E-2</v>
      </c>
      <c r="L88" s="433">
        <f t="shared" si="17"/>
        <v>2.7199999999999998E-2</v>
      </c>
      <c r="M88" s="433">
        <f t="shared" si="17"/>
        <v>2.5499999999999998E-2</v>
      </c>
      <c r="N88" s="433">
        <f t="shared" si="17"/>
        <v>2.3800000000000002E-2</v>
      </c>
      <c r="O88" s="433">
        <f t="shared" si="17"/>
        <v>2.2200000000000001E-2</v>
      </c>
      <c r="P88" s="433">
        <f t="shared" si="17"/>
        <v>1.9099999999999999E-2</v>
      </c>
      <c r="Q88" s="433">
        <f t="shared" si="17"/>
        <v>1.5800000000000002E-2</v>
      </c>
      <c r="R88" s="433">
        <f t="shared" si="17"/>
        <v>1.09E-2</v>
      </c>
      <c r="S88" s="557"/>
      <c r="T88" s="558"/>
    </row>
    <row r="89" spans="1:20">
      <c r="A89" s="60" t="s">
        <v>172</v>
      </c>
      <c r="B89" s="72" t="s">
        <v>55</v>
      </c>
      <c r="C89" s="307">
        <v>6.7000000000000004E-2</v>
      </c>
      <c r="D89" s="308">
        <v>0.63039999999999996</v>
      </c>
      <c r="E89" s="309">
        <v>0.65</v>
      </c>
      <c r="F89" s="309">
        <v>0.24946223864843597</v>
      </c>
      <c r="G89" s="340">
        <v>2014</v>
      </c>
      <c r="H89" s="341" t="str">
        <f t="shared" si="7"/>
        <v>£m 09/10</v>
      </c>
      <c r="I89" s="341" t="s">
        <v>268</v>
      </c>
      <c r="J89" s="425" t="s">
        <v>469</v>
      </c>
      <c r="K89" s="435">
        <f t="shared" si="17"/>
        <v>2.92E-2</v>
      </c>
      <c r="L89" s="433">
        <f t="shared" si="17"/>
        <v>2.7199999999999998E-2</v>
      </c>
      <c r="M89" s="433">
        <f t="shared" si="17"/>
        <v>2.5499999999999998E-2</v>
      </c>
      <c r="N89" s="433">
        <f t="shared" si="17"/>
        <v>2.3800000000000002E-2</v>
      </c>
      <c r="O89" s="433">
        <f t="shared" si="17"/>
        <v>2.2200000000000001E-2</v>
      </c>
      <c r="P89" s="433">
        <f t="shared" si="17"/>
        <v>1.9099999999999999E-2</v>
      </c>
      <c r="Q89" s="433">
        <f t="shared" si="17"/>
        <v>1.5800000000000002E-2</v>
      </c>
      <c r="R89" s="433">
        <f t="shared" si="17"/>
        <v>1.09E-2</v>
      </c>
      <c r="S89" s="557"/>
      <c r="T89" s="558"/>
    </row>
    <row r="90" spans="1:20">
      <c r="A90" s="60" t="s">
        <v>172</v>
      </c>
      <c r="B90" s="72" t="s">
        <v>56</v>
      </c>
      <c r="C90" s="307">
        <v>6.7000000000000004E-2</v>
      </c>
      <c r="D90" s="308">
        <v>0.63039999999999996</v>
      </c>
      <c r="E90" s="309">
        <v>0.65</v>
      </c>
      <c r="F90" s="309">
        <v>0.26095352485819256</v>
      </c>
      <c r="G90" s="340">
        <v>2014</v>
      </c>
      <c r="H90" s="341" t="str">
        <f t="shared" si="7"/>
        <v>£m 09/10</v>
      </c>
      <c r="I90" s="341" t="s">
        <v>268</v>
      </c>
      <c r="J90" s="425" t="s">
        <v>469</v>
      </c>
      <c r="K90" s="435">
        <f t="shared" si="17"/>
        <v>2.92E-2</v>
      </c>
      <c r="L90" s="433">
        <f t="shared" si="17"/>
        <v>2.7199999999999998E-2</v>
      </c>
      <c r="M90" s="433">
        <f t="shared" si="17"/>
        <v>2.5499999999999998E-2</v>
      </c>
      <c r="N90" s="433">
        <f t="shared" si="17"/>
        <v>2.3800000000000002E-2</v>
      </c>
      <c r="O90" s="433">
        <f t="shared" si="17"/>
        <v>2.2200000000000001E-2</v>
      </c>
      <c r="P90" s="433">
        <f t="shared" si="17"/>
        <v>1.9099999999999999E-2</v>
      </c>
      <c r="Q90" s="433">
        <f t="shared" si="17"/>
        <v>1.5800000000000002E-2</v>
      </c>
      <c r="R90" s="433">
        <f t="shared" si="17"/>
        <v>1.09E-2</v>
      </c>
      <c r="S90" s="557"/>
      <c r="T90" s="558"/>
    </row>
    <row r="91" spans="1:20">
      <c r="A91" s="60" t="s">
        <v>172</v>
      </c>
      <c r="B91" s="72" t="s">
        <v>50</v>
      </c>
      <c r="C91" s="307">
        <v>6.7000000000000004E-2</v>
      </c>
      <c r="D91" s="308">
        <v>0.63980000000000004</v>
      </c>
      <c r="E91" s="309">
        <v>0.65</v>
      </c>
      <c r="F91" s="309">
        <v>0.34984411379298247</v>
      </c>
      <c r="G91" s="340">
        <v>2014</v>
      </c>
      <c r="H91" s="341" t="str">
        <f t="shared" si="7"/>
        <v>£m 09/10</v>
      </c>
      <c r="I91" s="341" t="s">
        <v>268</v>
      </c>
      <c r="J91" s="425" t="s">
        <v>469</v>
      </c>
      <c r="K91" s="435">
        <f t="shared" si="17"/>
        <v>2.92E-2</v>
      </c>
      <c r="L91" s="433">
        <f t="shared" si="17"/>
        <v>2.7199999999999998E-2</v>
      </c>
      <c r="M91" s="433">
        <f t="shared" si="17"/>
        <v>2.5499999999999998E-2</v>
      </c>
      <c r="N91" s="433">
        <f t="shared" si="17"/>
        <v>2.3800000000000002E-2</v>
      </c>
      <c r="O91" s="433">
        <f t="shared" si="17"/>
        <v>2.2200000000000001E-2</v>
      </c>
      <c r="P91" s="433">
        <f t="shared" si="17"/>
        <v>1.9099999999999999E-2</v>
      </c>
      <c r="Q91" s="433">
        <f t="shared" si="17"/>
        <v>1.5800000000000002E-2</v>
      </c>
      <c r="R91" s="433">
        <f t="shared" si="17"/>
        <v>1.09E-2</v>
      </c>
      <c r="S91" s="557"/>
      <c r="T91" s="558"/>
    </row>
    <row r="92" spans="1:20">
      <c r="A92" s="60" t="s">
        <v>172</v>
      </c>
      <c r="B92" s="72" t="s">
        <v>52</v>
      </c>
      <c r="C92" s="307">
        <v>6.7000000000000004E-2</v>
      </c>
      <c r="D92" s="308">
        <v>0.63729999999999998</v>
      </c>
      <c r="E92" s="309">
        <v>0.65</v>
      </c>
      <c r="F92" s="309">
        <v>0.35129049661183626</v>
      </c>
      <c r="G92" s="340">
        <v>2014</v>
      </c>
      <c r="H92" s="341" t="str">
        <f t="shared" si="7"/>
        <v>£m 09/10</v>
      </c>
      <c r="I92" s="341" t="s">
        <v>268</v>
      </c>
      <c r="J92" s="425" t="s">
        <v>469</v>
      </c>
      <c r="K92" s="435">
        <f t="shared" si="17"/>
        <v>2.92E-2</v>
      </c>
      <c r="L92" s="433">
        <f t="shared" si="17"/>
        <v>2.7199999999999998E-2</v>
      </c>
      <c r="M92" s="433">
        <f t="shared" si="17"/>
        <v>2.5499999999999998E-2</v>
      </c>
      <c r="N92" s="433">
        <f t="shared" si="17"/>
        <v>2.3800000000000002E-2</v>
      </c>
      <c r="O92" s="433">
        <f t="shared" si="17"/>
        <v>2.2200000000000001E-2</v>
      </c>
      <c r="P92" s="433">
        <f t="shared" si="17"/>
        <v>1.9099999999999999E-2</v>
      </c>
      <c r="Q92" s="433">
        <f t="shared" si="17"/>
        <v>1.5800000000000002E-2</v>
      </c>
      <c r="R92" s="433">
        <f t="shared" si="17"/>
        <v>1.09E-2</v>
      </c>
      <c r="S92" s="557"/>
      <c r="T92" s="558"/>
    </row>
    <row r="93" spans="1:20">
      <c r="A93" s="60" t="s">
        <v>172</v>
      </c>
      <c r="B93" s="72" t="s">
        <v>51</v>
      </c>
      <c r="C93" s="307">
        <v>6.7000000000000004E-2</v>
      </c>
      <c r="D93" s="308">
        <v>0.63729999999999998</v>
      </c>
      <c r="E93" s="309">
        <v>0.65</v>
      </c>
      <c r="F93" s="309">
        <v>0.32230855902021693</v>
      </c>
      <c r="G93" s="340">
        <v>2014</v>
      </c>
      <c r="H93" s="341" t="str">
        <f t="shared" si="7"/>
        <v>£m 09/10</v>
      </c>
      <c r="I93" s="341" t="s">
        <v>268</v>
      </c>
      <c r="J93" s="425" t="s">
        <v>469</v>
      </c>
      <c r="K93" s="435">
        <f t="shared" si="17"/>
        <v>2.92E-2</v>
      </c>
      <c r="L93" s="433">
        <f t="shared" si="17"/>
        <v>2.7199999999999998E-2</v>
      </c>
      <c r="M93" s="433">
        <f t="shared" si="17"/>
        <v>2.5499999999999998E-2</v>
      </c>
      <c r="N93" s="433">
        <f t="shared" si="17"/>
        <v>2.3800000000000002E-2</v>
      </c>
      <c r="O93" s="433">
        <f t="shared" si="17"/>
        <v>2.2200000000000001E-2</v>
      </c>
      <c r="P93" s="433">
        <f t="shared" si="17"/>
        <v>1.9099999999999999E-2</v>
      </c>
      <c r="Q93" s="433">
        <f t="shared" si="17"/>
        <v>1.5800000000000002E-2</v>
      </c>
      <c r="R93" s="433">
        <f t="shared" si="17"/>
        <v>1.09E-2</v>
      </c>
      <c r="S93" s="557"/>
      <c r="T93" s="558"/>
    </row>
    <row r="94" spans="1:20">
      <c r="A94" s="60" t="s">
        <v>172</v>
      </c>
      <c r="B94" s="72" t="s">
        <v>49</v>
      </c>
      <c r="C94" s="307">
        <v>6.7000000000000004E-2</v>
      </c>
      <c r="D94" s="308">
        <v>0.63170000000000004</v>
      </c>
      <c r="E94" s="309">
        <v>0.65</v>
      </c>
      <c r="F94" s="309">
        <v>0.35781904469402892</v>
      </c>
      <c r="G94" s="340">
        <v>2014</v>
      </c>
      <c r="H94" s="341" t="str">
        <f t="shared" si="7"/>
        <v>£m 09/10</v>
      </c>
      <c r="I94" s="341" t="s">
        <v>268</v>
      </c>
      <c r="J94" s="425" t="s">
        <v>469</v>
      </c>
      <c r="K94" s="435">
        <f t="shared" si="17"/>
        <v>2.92E-2</v>
      </c>
      <c r="L94" s="433">
        <f t="shared" si="17"/>
        <v>2.7199999999999998E-2</v>
      </c>
      <c r="M94" s="433">
        <f t="shared" si="17"/>
        <v>2.5499999999999998E-2</v>
      </c>
      <c r="N94" s="433">
        <f t="shared" si="17"/>
        <v>2.3800000000000002E-2</v>
      </c>
      <c r="O94" s="433">
        <f t="shared" si="17"/>
        <v>2.2200000000000001E-2</v>
      </c>
      <c r="P94" s="433">
        <f t="shared" si="17"/>
        <v>1.9099999999999999E-2</v>
      </c>
      <c r="Q94" s="433">
        <f t="shared" si="17"/>
        <v>1.5800000000000002E-2</v>
      </c>
      <c r="R94" s="433">
        <f t="shared" si="17"/>
        <v>1.09E-2</v>
      </c>
      <c r="S94" s="557"/>
      <c r="T94" s="558"/>
    </row>
    <row r="95" spans="1:20">
      <c r="A95" s="60" t="s">
        <v>174</v>
      </c>
      <c r="B95" s="72" t="s">
        <v>113</v>
      </c>
      <c r="C95" s="307">
        <v>6.8000000000000005E-2</v>
      </c>
      <c r="D95" s="308">
        <v>0.44359999999999999</v>
      </c>
      <c r="E95" s="309">
        <v>0.625</v>
      </c>
      <c r="F95" s="309">
        <v>0.64400000000000002</v>
      </c>
      <c r="G95" s="340">
        <v>2014</v>
      </c>
      <c r="H95" s="341" t="str">
        <f t="shared" si="7"/>
        <v>£m 09/10</v>
      </c>
      <c r="I95" s="341" t="s">
        <v>268</v>
      </c>
      <c r="J95" s="425" t="s">
        <v>469</v>
      </c>
      <c r="K95" s="435">
        <f t="shared" ref="K95:R96" si="18">C$68</f>
        <v>2.92E-2</v>
      </c>
      <c r="L95" s="433">
        <f t="shared" si="18"/>
        <v>2.7199999999999998E-2</v>
      </c>
      <c r="M95" s="433">
        <f t="shared" si="18"/>
        <v>2.5499999999999998E-2</v>
      </c>
      <c r="N95" s="433">
        <f t="shared" si="18"/>
        <v>2.3800000000000002E-2</v>
      </c>
      <c r="O95" s="433">
        <f t="shared" si="18"/>
        <v>2.2200000000000001E-2</v>
      </c>
      <c r="P95" s="433">
        <f t="shared" si="18"/>
        <v>1.9099999999999999E-2</v>
      </c>
      <c r="Q95" s="433">
        <f t="shared" si="18"/>
        <v>1.5800000000000002E-2</v>
      </c>
      <c r="R95" s="433">
        <f t="shared" si="18"/>
        <v>1.09E-2</v>
      </c>
      <c r="S95" s="557"/>
      <c r="T95" s="558"/>
    </row>
    <row r="96" spans="1:20">
      <c r="A96" s="60" t="s">
        <v>174</v>
      </c>
      <c r="B96" s="72" t="s">
        <v>114</v>
      </c>
      <c r="C96" s="307">
        <v>6.8000000000000005E-2</v>
      </c>
      <c r="D96" s="308">
        <v>0.44359999999999999</v>
      </c>
      <c r="E96" s="309">
        <v>0.625</v>
      </c>
      <c r="F96" s="309">
        <v>0.374</v>
      </c>
      <c r="G96" s="340">
        <v>2014</v>
      </c>
      <c r="H96" s="341" t="str">
        <f t="shared" si="7"/>
        <v>£m 09/10</v>
      </c>
      <c r="I96" s="341" t="s">
        <v>268</v>
      </c>
      <c r="J96" s="425" t="s">
        <v>469</v>
      </c>
      <c r="K96" s="435">
        <f t="shared" si="18"/>
        <v>2.92E-2</v>
      </c>
      <c r="L96" s="433">
        <f t="shared" si="18"/>
        <v>2.7199999999999998E-2</v>
      </c>
      <c r="M96" s="433">
        <f t="shared" si="18"/>
        <v>2.5499999999999998E-2</v>
      </c>
      <c r="N96" s="433">
        <f t="shared" si="18"/>
        <v>2.3800000000000002E-2</v>
      </c>
      <c r="O96" s="433">
        <f t="shared" si="18"/>
        <v>2.2200000000000001E-2</v>
      </c>
      <c r="P96" s="433">
        <f t="shared" si="18"/>
        <v>1.9099999999999999E-2</v>
      </c>
      <c r="Q96" s="433">
        <f t="shared" si="18"/>
        <v>1.5800000000000002E-2</v>
      </c>
      <c r="R96" s="433">
        <f t="shared" si="18"/>
        <v>1.09E-2</v>
      </c>
      <c r="S96" s="557"/>
      <c r="T96" s="558"/>
    </row>
    <row r="97" spans="1:20">
      <c r="A97" s="60" t="s">
        <v>173</v>
      </c>
      <c r="B97" s="72" t="s">
        <v>111</v>
      </c>
      <c r="C97" s="307">
        <v>7.0000000000000007E-2</v>
      </c>
      <c r="D97" s="308">
        <v>0.46889999999999998</v>
      </c>
      <c r="E97" s="309">
        <v>0.6</v>
      </c>
      <c r="F97" s="309">
        <v>0.85</v>
      </c>
      <c r="G97" s="340">
        <v>2014</v>
      </c>
      <c r="H97" s="341" t="str">
        <f t="shared" si="7"/>
        <v>£m 09/10</v>
      </c>
      <c r="I97" s="341" t="s">
        <v>268</v>
      </c>
      <c r="J97" s="425" t="s">
        <v>469</v>
      </c>
      <c r="K97" s="435">
        <f t="shared" ref="K97:R99" si="19">C$66</f>
        <v>2.92E-2</v>
      </c>
      <c r="L97" s="433">
        <f t="shared" si="19"/>
        <v>2.7199999999999998E-2</v>
      </c>
      <c r="M97" s="433">
        <f t="shared" si="19"/>
        <v>2.5499999999999998E-2</v>
      </c>
      <c r="N97" s="433">
        <f t="shared" si="19"/>
        <v>2.3800000000000002E-2</v>
      </c>
      <c r="O97" s="433">
        <f t="shared" si="19"/>
        <v>2.2200000000000001E-2</v>
      </c>
      <c r="P97" s="433">
        <f t="shared" si="19"/>
        <v>1.9099999999999999E-2</v>
      </c>
      <c r="Q97" s="433">
        <f t="shared" si="19"/>
        <v>1.5800000000000002E-2</v>
      </c>
      <c r="R97" s="433">
        <f t="shared" si="19"/>
        <v>1.09E-2</v>
      </c>
      <c r="S97" s="557"/>
      <c r="T97" s="558"/>
    </row>
    <row r="98" spans="1:20">
      <c r="A98" s="60" t="s">
        <v>173</v>
      </c>
      <c r="B98" s="72" t="s">
        <v>563</v>
      </c>
      <c r="C98" s="307">
        <v>7.0000000000000007E-2</v>
      </c>
      <c r="D98" s="308">
        <v>0.46889999999999998</v>
      </c>
      <c r="E98" s="309">
        <v>0.6</v>
      </c>
      <c r="F98" s="309">
        <v>0.27900000000000003</v>
      </c>
      <c r="G98" s="326">
        <v>2014</v>
      </c>
      <c r="H98" s="327" t="str">
        <f>VLOOKUP($A98,$E$54:$F$57,2,FALSE)</f>
        <v>£m 09/10</v>
      </c>
      <c r="I98" s="324" t="s">
        <v>268</v>
      </c>
      <c r="J98" s="425" t="s">
        <v>469</v>
      </c>
      <c r="K98" s="435">
        <f t="shared" si="19"/>
        <v>2.92E-2</v>
      </c>
      <c r="L98" s="433">
        <f t="shared" si="19"/>
        <v>2.7199999999999998E-2</v>
      </c>
      <c r="M98" s="433">
        <f t="shared" si="19"/>
        <v>2.5499999999999998E-2</v>
      </c>
      <c r="N98" s="433">
        <f t="shared" si="19"/>
        <v>2.3800000000000002E-2</v>
      </c>
      <c r="O98" s="433">
        <f t="shared" si="19"/>
        <v>2.2200000000000001E-2</v>
      </c>
      <c r="P98" s="433">
        <f t="shared" si="19"/>
        <v>1.9099999999999999E-2</v>
      </c>
      <c r="Q98" s="433">
        <f t="shared" si="19"/>
        <v>1.5800000000000002E-2</v>
      </c>
      <c r="R98" s="433">
        <f t="shared" si="19"/>
        <v>1.09E-2</v>
      </c>
      <c r="S98" s="557"/>
      <c r="T98" s="558"/>
    </row>
    <row r="99" spans="1:20">
      <c r="A99" s="60" t="s">
        <v>173</v>
      </c>
      <c r="B99" s="72" t="s">
        <v>60</v>
      </c>
      <c r="C99" s="307">
        <v>7.0000000000000007E-2</v>
      </c>
      <c r="D99" s="308">
        <v>0.5</v>
      </c>
      <c r="E99" s="309">
        <v>0.55000000000000004</v>
      </c>
      <c r="F99" s="309">
        <v>0.9</v>
      </c>
      <c r="G99" s="326">
        <v>2014</v>
      </c>
      <c r="H99" s="327" t="str">
        <f>VLOOKUP($A99,$E$54:$F$57,2,FALSE)</f>
        <v>£m 09/10</v>
      </c>
      <c r="I99" s="324" t="s">
        <v>269</v>
      </c>
      <c r="J99" s="425" t="s">
        <v>469</v>
      </c>
      <c r="K99" s="435">
        <f t="shared" si="19"/>
        <v>2.92E-2</v>
      </c>
      <c r="L99" s="433">
        <f t="shared" si="19"/>
        <v>2.7199999999999998E-2</v>
      </c>
      <c r="M99" s="433">
        <f t="shared" si="19"/>
        <v>2.5499999999999998E-2</v>
      </c>
      <c r="N99" s="433">
        <f t="shared" si="19"/>
        <v>2.3800000000000002E-2</v>
      </c>
      <c r="O99" s="433">
        <f t="shared" si="19"/>
        <v>2.2200000000000001E-2</v>
      </c>
      <c r="P99" s="433">
        <f t="shared" si="19"/>
        <v>1.9099999999999999E-2</v>
      </c>
      <c r="Q99" s="433">
        <f t="shared" si="19"/>
        <v>1.5800000000000002E-2</v>
      </c>
      <c r="R99" s="433">
        <f t="shared" si="19"/>
        <v>1.09E-2</v>
      </c>
      <c r="S99" s="557"/>
      <c r="T99" s="558"/>
    </row>
    <row r="100" spans="1:20">
      <c r="A100" s="60" t="s">
        <v>173</v>
      </c>
      <c r="B100" s="73" t="s">
        <v>61</v>
      </c>
      <c r="C100" s="310">
        <v>7.0000000000000007E-2</v>
      </c>
      <c r="D100" s="311">
        <v>0.5</v>
      </c>
      <c r="E100" s="312">
        <v>0.55000000000000004</v>
      </c>
      <c r="F100" s="312">
        <v>0.9</v>
      </c>
      <c r="G100" s="328">
        <v>2014</v>
      </c>
      <c r="H100" s="329" t="str">
        <f>VLOOKUP($A100,$E$54:$F$57,2,FALSE)</f>
        <v>£m 09/10</v>
      </c>
      <c r="I100" s="325" t="s">
        <v>269</v>
      </c>
      <c r="J100" s="425" t="s">
        <v>469</v>
      </c>
      <c r="K100" s="436">
        <f t="shared" ref="K100:R100" si="20">C$65</f>
        <v>2.92E-2</v>
      </c>
      <c r="L100" s="434">
        <f t="shared" si="20"/>
        <v>2.5000000000000001E-2</v>
      </c>
      <c r="M100" s="434">
        <f t="shared" si="20"/>
        <v>2.1499999999999998E-2</v>
      </c>
      <c r="N100" s="434">
        <f t="shared" si="20"/>
        <v>1.7899999999999999E-2</v>
      </c>
      <c r="O100" s="434">
        <f t="shared" si="20"/>
        <v>1.5100000000000001E-2</v>
      </c>
      <c r="P100" s="434">
        <f t="shared" si="20"/>
        <v>1.1599999999999999E-2</v>
      </c>
      <c r="Q100" s="434">
        <f t="shared" si="20"/>
        <v>1.0200000000000001E-2</v>
      </c>
      <c r="R100" s="434">
        <f t="shared" si="20"/>
        <v>7.6E-3</v>
      </c>
      <c r="S100" s="559"/>
      <c r="T100" s="560"/>
    </row>
    <row r="101" spans="1:20">
      <c r="I101" s="67"/>
    </row>
    <row r="102" spans="1:20">
      <c r="I102" s="67"/>
    </row>
    <row r="103" spans="1:20">
      <c r="I103" s="67"/>
    </row>
    <row r="104" spans="1:20" ht="13.5">
      <c r="B104" s="14" t="s">
        <v>248</v>
      </c>
      <c r="D104" s="298"/>
      <c r="E104" s="298"/>
      <c r="F104" s="298"/>
      <c r="G104" s="298"/>
      <c r="H104" s="298"/>
      <c r="I104" s="298"/>
      <c r="J104" s="298"/>
    </row>
    <row r="105" spans="1:20">
      <c r="B105" s="14"/>
      <c r="C105" s="117">
        <v>2014</v>
      </c>
      <c r="D105" s="118">
        <f>C105+1</f>
        <v>2015</v>
      </c>
      <c r="E105" s="118">
        <f t="shared" ref="E105:J105" si="21">D105+1</f>
        <v>2016</v>
      </c>
      <c r="F105" s="118">
        <f>E105+1</f>
        <v>2017</v>
      </c>
      <c r="G105" s="118">
        <f t="shared" si="21"/>
        <v>2018</v>
      </c>
      <c r="H105" s="118">
        <f t="shared" si="21"/>
        <v>2019</v>
      </c>
      <c r="I105" s="118">
        <f t="shared" si="21"/>
        <v>2020</v>
      </c>
      <c r="J105" s="118">
        <f t="shared" si="21"/>
        <v>2021</v>
      </c>
    </row>
    <row r="106" spans="1:20">
      <c r="B106" s="302" t="s">
        <v>53</v>
      </c>
      <c r="C106" s="299">
        <v>0.5</v>
      </c>
      <c r="D106" s="299">
        <v>0.5714285714285714</v>
      </c>
      <c r="E106" s="299">
        <v>0.64285714285714279</v>
      </c>
      <c r="F106" s="299">
        <v>0.71428571428571419</v>
      </c>
      <c r="G106" s="299">
        <v>0.78571428571428559</v>
      </c>
      <c r="H106" s="299">
        <v>0.85714285714285698</v>
      </c>
      <c r="I106" s="299">
        <v>0.92857142857142838</v>
      </c>
      <c r="J106" s="300">
        <v>1</v>
      </c>
    </row>
    <row r="107" spans="1:20">
      <c r="B107" s="303" t="s">
        <v>54</v>
      </c>
      <c r="C107" s="219">
        <v>0.5</v>
      </c>
      <c r="D107" s="219">
        <v>0.5714285714285714</v>
      </c>
      <c r="E107" s="219">
        <v>0.64285714285714279</v>
      </c>
      <c r="F107" s="219">
        <v>0.71428571428571419</v>
      </c>
      <c r="G107" s="219">
        <v>0.78571428571428559</v>
      </c>
      <c r="H107" s="219">
        <v>0.85714285714285698</v>
      </c>
      <c r="I107" s="219">
        <v>0.92857142857142838</v>
      </c>
      <c r="J107" s="220">
        <v>1</v>
      </c>
    </row>
    <row r="108" spans="1:20">
      <c r="B108" s="303" t="s">
        <v>55</v>
      </c>
      <c r="C108" s="219">
        <v>0.5</v>
      </c>
      <c r="D108" s="219">
        <v>0.5714285714285714</v>
      </c>
      <c r="E108" s="219">
        <v>0.64285714285714279</v>
      </c>
      <c r="F108" s="219">
        <v>0.71428571428571419</v>
      </c>
      <c r="G108" s="219">
        <v>0.78571428571428559</v>
      </c>
      <c r="H108" s="219">
        <v>0.85714285714285698</v>
      </c>
      <c r="I108" s="219">
        <v>0.92857142857142838</v>
      </c>
      <c r="J108" s="220">
        <v>1</v>
      </c>
    </row>
    <row r="109" spans="1:20">
      <c r="B109" s="303" t="s">
        <v>56</v>
      </c>
      <c r="C109" s="219">
        <v>0.5</v>
      </c>
      <c r="D109" s="219">
        <v>0.5714285714285714</v>
      </c>
      <c r="E109" s="219">
        <v>0.64285714285714279</v>
      </c>
      <c r="F109" s="219">
        <v>0.71428571428571419</v>
      </c>
      <c r="G109" s="219">
        <v>0.78571428571428559</v>
      </c>
      <c r="H109" s="219">
        <v>0.85714285714285698</v>
      </c>
      <c r="I109" s="219">
        <v>0.92857142857142838</v>
      </c>
      <c r="J109" s="220">
        <v>1</v>
      </c>
    </row>
    <row r="110" spans="1:20">
      <c r="B110" s="303" t="s">
        <v>50</v>
      </c>
      <c r="C110" s="219">
        <v>0.5</v>
      </c>
      <c r="D110" s="219">
        <v>0.5714285714285714</v>
      </c>
      <c r="E110" s="219">
        <v>0.64285714285714279</v>
      </c>
      <c r="F110" s="219">
        <v>0.71428571428571419</v>
      </c>
      <c r="G110" s="219">
        <v>0.78571428571428559</v>
      </c>
      <c r="H110" s="219">
        <v>0.85714285714285698</v>
      </c>
      <c r="I110" s="219">
        <v>0.92857142857142838</v>
      </c>
      <c r="J110" s="220">
        <v>1</v>
      </c>
    </row>
    <row r="111" spans="1:20">
      <c r="B111" s="303" t="s">
        <v>52</v>
      </c>
      <c r="C111" s="219">
        <v>0.5</v>
      </c>
      <c r="D111" s="219">
        <v>0.5714285714285714</v>
      </c>
      <c r="E111" s="219">
        <v>0.64285714285714279</v>
      </c>
      <c r="F111" s="219">
        <v>0.71428571428571419</v>
      </c>
      <c r="G111" s="219">
        <v>0.78571428571428559</v>
      </c>
      <c r="H111" s="219">
        <v>0.85714285714285698</v>
      </c>
      <c r="I111" s="219">
        <v>0.92857142857142838</v>
      </c>
      <c r="J111" s="220">
        <v>1</v>
      </c>
    </row>
    <row r="112" spans="1:20">
      <c r="B112" s="303" t="s">
        <v>51</v>
      </c>
      <c r="C112" s="219">
        <v>0.5</v>
      </c>
      <c r="D112" s="219">
        <v>0.5714285714285714</v>
      </c>
      <c r="E112" s="219">
        <v>0.64285714285714279</v>
      </c>
      <c r="F112" s="219">
        <v>0.71428571428571419</v>
      </c>
      <c r="G112" s="219">
        <v>0.78571428571428559</v>
      </c>
      <c r="H112" s="219">
        <v>0.85714285714285698</v>
      </c>
      <c r="I112" s="219">
        <v>0.92857142857142838</v>
      </c>
      <c r="J112" s="220">
        <v>1</v>
      </c>
    </row>
    <row r="113" spans="2:15">
      <c r="B113" s="418" t="s">
        <v>49</v>
      </c>
      <c r="C113" s="419">
        <v>0.5</v>
      </c>
      <c r="D113" s="419">
        <v>0.5714285714285714</v>
      </c>
      <c r="E113" s="419">
        <v>0.64285714285714279</v>
      </c>
      <c r="F113" s="419">
        <v>0.71428571428571419</v>
      </c>
      <c r="G113" s="419">
        <v>0.78571428571428559</v>
      </c>
      <c r="H113" s="419">
        <v>0.85714285714285698</v>
      </c>
      <c r="I113" s="419">
        <v>0.92857142857142838</v>
      </c>
      <c r="J113" s="420">
        <v>1</v>
      </c>
    </row>
    <row r="114" spans="2:15">
      <c r="B114" s="303" t="s">
        <v>113</v>
      </c>
      <c r="C114" s="219">
        <v>0.9</v>
      </c>
      <c r="D114" s="219">
        <v>0.9</v>
      </c>
      <c r="E114" s="219">
        <v>0.9</v>
      </c>
      <c r="F114" s="219">
        <v>0.9</v>
      </c>
      <c r="G114" s="219">
        <v>0.9</v>
      </c>
      <c r="H114" s="219">
        <v>0.9</v>
      </c>
      <c r="I114" s="219">
        <v>0.9</v>
      </c>
      <c r="J114" s="220">
        <v>0.9</v>
      </c>
    </row>
    <row r="115" spans="2:15">
      <c r="B115" s="304" t="s">
        <v>114</v>
      </c>
      <c r="C115" s="564"/>
      <c r="D115" s="564"/>
      <c r="E115" s="564"/>
      <c r="F115" s="564"/>
      <c r="G115" s="564"/>
      <c r="H115" s="564"/>
      <c r="I115" s="564"/>
      <c r="J115" s="564"/>
    </row>
    <row r="116" spans="2:15">
      <c r="B116" s="400"/>
      <c r="C116" s="459"/>
      <c r="D116" s="459"/>
      <c r="E116" s="459"/>
      <c r="F116" s="459"/>
      <c r="G116" s="459"/>
      <c r="H116" s="459"/>
      <c r="I116" s="459"/>
      <c r="J116" s="459"/>
      <c r="M116" s="31"/>
      <c r="N116" s="31"/>
      <c r="O116" s="31"/>
    </row>
    <row r="117" spans="2:15">
      <c r="B117" s="400"/>
      <c r="C117" s="459"/>
      <c r="D117" s="459"/>
      <c r="E117" s="459"/>
      <c r="F117" s="459"/>
      <c r="G117" s="459"/>
      <c r="H117" s="459"/>
      <c r="I117" s="459"/>
      <c r="J117" s="459"/>
      <c r="K117" s="366"/>
      <c r="L117" s="366"/>
      <c r="M117" s="31"/>
      <c r="N117" s="31"/>
      <c r="O117" s="31"/>
    </row>
    <row r="118" spans="2:15">
      <c r="B118" s="469" t="s">
        <v>213</v>
      </c>
      <c r="C118" s="117">
        <v>2014</v>
      </c>
      <c r="D118" s="118">
        <f t="shared" ref="D118:L118" si="22">C118+1</f>
        <v>2015</v>
      </c>
      <c r="E118" s="118">
        <f t="shared" si="22"/>
        <v>2016</v>
      </c>
      <c r="F118" s="118">
        <f t="shared" si="22"/>
        <v>2017</v>
      </c>
      <c r="G118" s="118">
        <f t="shared" si="22"/>
        <v>2018</v>
      </c>
      <c r="H118" s="118">
        <f t="shared" si="22"/>
        <v>2019</v>
      </c>
      <c r="I118" s="118">
        <f t="shared" si="22"/>
        <v>2020</v>
      </c>
      <c r="J118" s="118">
        <f t="shared" si="22"/>
        <v>2021</v>
      </c>
      <c r="K118" s="118">
        <f t="shared" si="22"/>
        <v>2022</v>
      </c>
      <c r="L118" s="195">
        <f t="shared" si="22"/>
        <v>2023</v>
      </c>
      <c r="M118" s="31"/>
      <c r="N118" s="31"/>
      <c r="O118" s="31"/>
    </row>
    <row r="119" spans="2:15">
      <c r="B119" s="460" t="s">
        <v>43</v>
      </c>
      <c r="C119" s="561"/>
      <c r="D119" s="562"/>
      <c r="E119" s="462">
        <v>1.5575632164737283</v>
      </c>
      <c r="F119" s="462">
        <v>1.4734141240658321</v>
      </c>
      <c r="G119" s="462">
        <v>1.4689588897025405</v>
      </c>
      <c r="H119" s="462">
        <v>1.4707200530126929</v>
      </c>
      <c r="I119" s="462">
        <v>1.4674716260161711</v>
      </c>
      <c r="J119" s="462">
        <v>1.4486206224386007</v>
      </c>
      <c r="K119" s="462">
        <v>1.4956798325868756</v>
      </c>
      <c r="L119" s="463">
        <v>1.4397148718051931</v>
      </c>
      <c r="M119" s="31"/>
      <c r="N119" s="31"/>
      <c r="O119" s="31"/>
    </row>
    <row r="120" spans="2:15">
      <c r="B120" s="460" t="s">
        <v>44</v>
      </c>
      <c r="C120" s="563"/>
      <c r="D120" s="564"/>
      <c r="E120" s="464">
        <v>-0.65871781800535345</v>
      </c>
      <c r="F120" s="464">
        <v>-0.63543772576063684</v>
      </c>
      <c r="G120" s="464">
        <v>-0.58907862874233818</v>
      </c>
      <c r="H120" s="464">
        <v>-0.58178188190178026</v>
      </c>
      <c r="I120" s="464">
        <v>-0.56823918867341305</v>
      </c>
      <c r="J120" s="464">
        <v>-0.51933170333654122</v>
      </c>
      <c r="K120" s="464">
        <v>-0.47962665852661612</v>
      </c>
      <c r="L120" s="465">
        <v>-0.4656874701170608</v>
      </c>
      <c r="M120" s="31"/>
      <c r="N120" s="31"/>
      <c r="O120" s="31"/>
    </row>
    <row r="121" spans="2:15">
      <c r="B121" s="460" t="s">
        <v>73</v>
      </c>
      <c r="C121" s="563"/>
      <c r="D121" s="564"/>
      <c r="E121" s="464">
        <v>-0.86626036283610952</v>
      </c>
      <c r="F121" s="464">
        <v>-0.81019773780890636</v>
      </c>
      <c r="G121" s="464">
        <v>-0.78919084241395188</v>
      </c>
      <c r="H121" s="464">
        <v>-0.79061873066036981</v>
      </c>
      <c r="I121" s="464">
        <v>-0.74432653414361061</v>
      </c>
      <c r="J121" s="464">
        <v>-0.70697274816976396</v>
      </c>
      <c r="K121" s="464">
        <v>-0.65350946162011747</v>
      </c>
      <c r="L121" s="465">
        <v>-0.66429758885743451</v>
      </c>
      <c r="M121" s="31"/>
      <c r="N121" s="31"/>
      <c r="O121" s="31"/>
    </row>
    <row r="122" spans="2:15">
      <c r="B122" s="460" t="s">
        <v>59</v>
      </c>
      <c r="C122" s="563"/>
      <c r="D122" s="564"/>
      <c r="E122" s="464">
        <v>-3.2612134183503572</v>
      </c>
      <c r="F122" s="464">
        <v>-3.3462554451402173</v>
      </c>
      <c r="G122" s="464">
        <v>-3.1732919768141143</v>
      </c>
      <c r="H122" s="464">
        <v>-3.1232404745251841</v>
      </c>
      <c r="I122" s="464">
        <v>-3.0767551306224106</v>
      </c>
      <c r="J122" s="464">
        <v>-2.9342177182087767</v>
      </c>
      <c r="K122" s="464">
        <v>-2.8825938479182072</v>
      </c>
      <c r="L122" s="465">
        <v>-2.7237011003750218</v>
      </c>
      <c r="M122" s="31"/>
      <c r="N122" s="31"/>
      <c r="O122" s="31"/>
    </row>
    <row r="123" spans="2:15">
      <c r="B123" s="460" t="s">
        <v>57</v>
      </c>
      <c r="C123" s="563"/>
      <c r="D123" s="564"/>
      <c r="E123" s="464">
        <v>-2.4260972367898193</v>
      </c>
      <c r="F123" s="464">
        <v>-2.3690383662844163</v>
      </c>
      <c r="G123" s="464">
        <v>-2.2433276600060932</v>
      </c>
      <c r="H123" s="464">
        <v>-2.1466020621213828</v>
      </c>
      <c r="I123" s="464">
        <v>-2.174009678716605</v>
      </c>
      <c r="J123" s="464">
        <v>-2.0538927838998693</v>
      </c>
      <c r="K123" s="464">
        <v>-1.9044581231060691</v>
      </c>
      <c r="L123" s="465">
        <v>-1.8008611131009082</v>
      </c>
      <c r="M123" s="31"/>
      <c r="N123" s="31"/>
      <c r="O123" s="31"/>
    </row>
    <row r="124" spans="2:15">
      <c r="B124" s="460" t="s">
        <v>58</v>
      </c>
      <c r="C124" s="563"/>
      <c r="D124" s="564"/>
      <c r="E124" s="464">
        <v>-2.1861012409352765</v>
      </c>
      <c r="F124" s="464">
        <v>-2.3820447425774849</v>
      </c>
      <c r="G124" s="464">
        <v>-2.2418672366929897</v>
      </c>
      <c r="H124" s="464">
        <v>-2.1147812646907029</v>
      </c>
      <c r="I124" s="464">
        <v>-2.0146177086326591</v>
      </c>
      <c r="J124" s="464">
        <v>-1.9421313262105093</v>
      </c>
      <c r="K124" s="464">
        <v>-1.9248856430948595</v>
      </c>
      <c r="L124" s="465">
        <v>-1.8464451304225615</v>
      </c>
      <c r="M124" s="31"/>
      <c r="N124" s="31"/>
      <c r="O124" s="31"/>
    </row>
    <row r="125" spans="2:15">
      <c r="B125" s="460" t="s">
        <v>45</v>
      </c>
      <c r="C125" s="563"/>
      <c r="D125" s="564"/>
      <c r="E125" s="464">
        <v>-1.8633532543800757</v>
      </c>
      <c r="F125" s="464">
        <v>-1.8182980405067262</v>
      </c>
      <c r="G125" s="464">
        <v>-1.83946756302578</v>
      </c>
      <c r="H125" s="464">
        <v>-1.7415973428180247</v>
      </c>
      <c r="I125" s="464">
        <v>-1.6798002111470465</v>
      </c>
      <c r="J125" s="464">
        <v>-1.5974456358596774</v>
      </c>
      <c r="K125" s="464">
        <v>-1.5016396120831343</v>
      </c>
      <c r="L125" s="465">
        <v>-1.4453638876860204</v>
      </c>
      <c r="M125" s="31"/>
      <c r="N125" s="31"/>
      <c r="O125" s="31"/>
    </row>
    <row r="126" spans="2:15">
      <c r="B126" s="460" t="s">
        <v>46</v>
      </c>
      <c r="C126" s="563"/>
      <c r="D126" s="564"/>
      <c r="E126" s="464">
        <v>-2.1317145269512103</v>
      </c>
      <c r="F126" s="464">
        <v>-2.193973633026753</v>
      </c>
      <c r="G126" s="464">
        <v>-1.9869010217130036</v>
      </c>
      <c r="H126" s="464">
        <v>-1.8037552784318813</v>
      </c>
      <c r="I126" s="464">
        <v>-1.7767942495618843</v>
      </c>
      <c r="J126" s="464">
        <v>-1.7901472583807538</v>
      </c>
      <c r="K126" s="464">
        <v>-1.6444113686346382</v>
      </c>
      <c r="L126" s="465">
        <v>-1.467384504290556</v>
      </c>
      <c r="M126" s="31"/>
      <c r="N126" s="31"/>
      <c r="O126" s="31"/>
    </row>
    <row r="127" spans="2:15">
      <c r="B127" s="460" t="s">
        <v>47</v>
      </c>
      <c r="C127" s="563"/>
      <c r="D127" s="564"/>
      <c r="E127" s="464">
        <v>0.16599721814464838</v>
      </c>
      <c r="F127" s="464">
        <v>0.16631900606776751</v>
      </c>
      <c r="G127" s="464">
        <v>0.16554337895881124</v>
      </c>
      <c r="H127" s="464">
        <v>0.16569741136821181</v>
      </c>
      <c r="I127" s="464">
        <v>0.16622630759870036</v>
      </c>
      <c r="J127" s="464">
        <v>0.16380302414374548</v>
      </c>
      <c r="K127" s="464">
        <v>0.16593344617950709</v>
      </c>
      <c r="L127" s="465">
        <v>0.16036688822048883</v>
      </c>
      <c r="M127" s="31"/>
      <c r="N127" s="31"/>
      <c r="O127" s="31"/>
    </row>
    <row r="128" spans="2:15">
      <c r="B128" s="460" t="s">
        <v>48</v>
      </c>
      <c r="C128" s="563"/>
      <c r="D128" s="564"/>
      <c r="E128" s="464">
        <v>0.3648271976377423</v>
      </c>
      <c r="F128" s="464">
        <v>0.37109083837102003</v>
      </c>
      <c r="G128" s="464">
        <v>0.36071859106606846</v>
      </c>
      <c r="H128" s="464">
        <v>0.35927814835295946</v>
      </c>
      <c r="I128" s="464">
        <v>0.3227419487574148</v>
      </c>
      <c r="J128" s="464">
        <v>0.32139075529498529</v>
      </c>
      <c r="K128" s="464">
        <v>0.32876178406363676</v>
      </c>
      <c r="L128" s="465">
        <v>0.31920430794598709</v>
      </c>
      <c r="M128" s="31"/>
      <c r="N128" s="31"/>
      <c r="O128" s="31"/>
    </row>
    <row r="129" spans="2:15">
      <c r="B129" s="460" t="s">
        <v>244</v>
      </c>
      <c r="C129" s="563"/>
      <c r="D129" s="564"/>
      <c r="E129" s="464">
        <v>7.1281196754416492</v>
      </c>
      <c r="F129" s="464">
        <v>6.9674138399666772</v>
      </c>
      <c r="G129" s="464">
        <v>6.2034025893135132</v>
      </c>
      <c r="H129" s="464">
        <v>6.3085978915797085</v>
      </c>
      <c r="I129" s="464">
        <v>6.2376648400128394</v>
      </c>
      <c r="J129" s="464">
        <v>6.4865819943041139</v>
      </c>
      <c r="K129" s="464">
        <v>6.8152516624832584</v>
      </c>
      <c r="L129" s="465">
        <v>6.6271056201039169</v>
      </c>
      <c r="M129" s="31"/>
      <c r="N129" s="31"/>
      <c r="O129" s="31"/>
    </row>
    <row r="130" spans="2:15">
      <c r="B130" s="460" t="s">
        <v>245</v>
      </c>
      <c r="C130" s="563"/>
      <c r="D130" s="564"/>
      <c r="E130" s="464">
        <v>6.5079014730517413</v>
      </c>
      <c r="F130" s="464">
        <v>6.5166167406950333</v>
      </c>
      <c r="G130" s="464">
        <v>6.3292456496722922</v>
      </c>
      <c r="H130" s="464">
        <v>6.4407397408462082</v>
      </c>
      <c r="I130" s="464">
        <v>6.6367331985058957</v>
      </c>
      <c r="J130" s="464">
        <v>6.7568163761394304</v>
      </c>
      <c r="K130" s="464">
        <v>6.6961234445143969</v>
      </c>
      <c r="L130" s="465">
        <v>6.7647427548792596</v>
      </c>
      <c r="M130" s="31"/>
      <c r="N130" s="31"/>
      <c r="O130" s="31"/>
    </row>
    <row r="131" spans="2:15">
      <c r="B131" s="460" t="s">
        <v>246</v>
      </c>
      <c r="C131" s="563"/>
      <c r="D131" s="564"/>
      <c r="E131" s="464">
        <v>3.6763138465229663</v>
      </c>
      <c r="F131" s="464">
        <v>3.6748350873956013</v>
      </c>
      <c r="G131" s="464">
        <v>3.4998529635433906</v>
      </c>
      <c r="H131" s="464">
        <v>3.724685546648324</v>
      </c>
      <c r="I131" s="464">
        <v>3.4121739487309477</v>
      </c>
      <c r="J131" s="464">
        <v>3.4202241027689042</v>
      </c>
      <c r="K131" s="464">
        <v>3.3053549439575329</v>
      </c>
      <c r="L131" s="465">
        <v>3.3633285641010966</v>
      </c>
      <c r="M131" s="31"/>
      <c r="N131" s="31"/>
      <c r="O131" s="31"/>
    </row>
    <row r="132" spans="2:15">
      <c r="B132" s="460" t="s">
        <v>247</v>
      </c>
      <c r="C132" s="563"/>
      <c r="D132" s="564"/>
      <c r="E132" s="464">
        <v>5.3762701961708466</v>
      </c>
      <c r="F132" s="464">
        <v>5.3775969760840585</v>
      </c>
      <c r="G132" s="464">
        <v>5.2618102801807671</v>
      </c>
      <c r="H132" s="464">
        <v>5.360849180672294</v>
      </c>
      <c r="I132" s="464">
        <v>5.2665238228731912</v>
      </c>
      <c r="J132" s="464">
        <v>5.3271179030285305</v>
      </c>
      <c r="K132" s="464">
        <v>5.3223294006601192</v>
      </c>
      <c r="L132" s="465">
        <v>5.5699880746272257</v>
      </c>
      <c r="M132" s="31"/>
      <c r="N132" s="31"/>
      <c r="O132" s="31"/>
    </row>
    <row r="133" spans="2:15">
      <c r="B133" s="460" t="s">
        <v>53</v>
      </c>
      <c r="C133" s="466">
        <v>1.4371556068940596</v>
      </c>
      <c r="D133" s="464">
        <v>1.3718015630879741</v>
      </c>
      <c r="E133" s="464">
        <v>1.3507660107019517</v>
      </c>
      <c r="F133" s="464">
        <v>1.356812198977974</v>
      </c>
      <c r="G133" s="464">
        <v>1.3598136386487443</v>
      </c>
      <c r="H133" s="464">
        <v>1.3501475065962032</v>
      </c>
      <c r="I133" s="464">
        <v>1.3298433305384654</v>
      </c>
      <c r="J133" s="464">
        <v>1.3174540960763355</v>
      </c>
      <c r="K133" s="564"/>
      <c r="L133" s="565"/>
      <c r="M133" s="31"/>
      <c r="N133" s="31"/>
      <c r="O133" s="31"/>
    </row>
    <row r="134" spans="2:15">
      <c r="B134" s="460" t="s">
        <v>54</v>
      </c>
      <c r="C134" s="466">
        <v>1.2224510767557433</v>
      </c>
      <c r="D134" s="464">
        <v>1.2198157429394254</v>
      </c>
      <c r="E134" s="464">
        <v>1.2942164825881293</v>
      </c>
      <c r="F134" s="464">
        <v>1.2596396269108345</v>
      </c>
      <c r="G134" s="464">
        <v>1.2840112184368913</v>
      </c>
      <c r="H134" s="464">
        <v>1.2678511857965422</v>
      </c>
      <c r="I134" s="464">
        <v>1.2592019055105816</v>
      </c>
      <c r="J134" s="464">
        <v>1.257376658609527</v>
      </c>
      <c r="K134" s="564"/>
      <c r="L134" s="565"/>
      <c r="M134" s="31"/>
      <c r="N134" s="31"/>
      <c r="O134" s="31"/>
    </row>
    <row r="135" spans="2:15">
      <c r="B135" s="460" t="s">
        <v>55</v>
      </c>
      <c r="C135" s="466">
        <v>0.82325002294811445</v>
      </c>
      <c r="D135" s="464">
        <v>0.82663571281128501</v>
      </c>
      <c r="E135" s="464">
        <v>0.79640504595610451</v>
      </c>
      <c r="F135" s="464">
        <v>0.78757021450124798</v>
      </c>
      <c r="G135" s="464">
        <v>0.81133252861207505</v>
      </c>
      <c r="H135" s="464">
        <v>0.81064228783969072</v>
      </c>
      <c r="I135" s="464">
        <v>0.80900368952296353</v>
      </c>
      <c r="J135" s="464">
        <v>0.78043276967968189</v>
      </c>
      <c r="K135" s="564"/>
      <c r="L135" s="565"/>
      <c r="M135" s="31"/>
      <c r="N135" s="31"/>
      <c r="O135" s="31"/>
    </row>
    <row r="136" spans="2:15">
      <c r="B136" s="460" t="s">
        <v>56</v>
      </c>
      <c r="C136" s="466">
        <v>1.0893959849781105</v>
      </c>
      <c r="D136" s="464">
        <v>1.027913194554035</v>
      </c>
      <c r="E136" s="464">
        <v>1.0066987144123654</v>
      </c>
      <c r="F136" s="464">
        <v>1.0192350900597893</v>
      </c>
      <c r="G136" s="464">
        <v>1.0341480780318344</v>
      </c>
      <c r="H136" s="464">
        <v>1.0204240792759967</v>
      </c>
      <c r="I136" s="464">
        <v>1.0137739549704501</v>
      </c>
      <c r="J136" s="464">
        <v>0.9898055017218621</v>
      </c>
      <c r="K136" s="564"/>
      <c r="L136" s="565"/>
      <c r="M136" s="31"/>
      <c r="N136" s="31"/>
      <c r="O136" s="31"/>
    </row>
    <row r="137" spans="2:15">
      <c r="B137" s="460" t="s">
        <v>50</v>
      </c>
      <c r="C137" s="466">
        <v>3.0675250143183739</v>
      </c>
      <c r="D137" s="464">
        <v>3.1629219417602221</v>
      </c>
      <c r="E137" s="464">
        <v>3.2156604222069194</v>
      </c>
      <c r="F137" s="464">
        <v>3.1773534622131239</v>
      </c>
      <c r="G137" s="464">
        <v>2.9925267771957293</v>
      </c>
      <c r="H137" s="464">
        <v>2.9953978987575276</v>
      </c>
      <c r="I137" s="464">
        <v>3.008780645638939</v>
      </c>
      <c r="J137" s="464">
        <v>3.0035530345258876</v>
      </c>
      <c r="K137" s="564"/>
      <c r="L137" s="565"/>
      <c r="M137" s="31"/>
      <c r="N137" s="31"/>
      <c r="O137" s="31"/>
    </row>
    <row r="138" spans="2:15">
      <c r="B138" s="460" t="s">
        <v>52</v>
      </c>
      <c r="C138" s="466">
        <v>2.1240897362733717</v>
      </c>
      <c r="D138" s="464">
        <v>2.0350723340362249</v>
      </c>
      <c r="E138" s="464">
        <v>1.9686998072928457</v>
      </c>
      <c r="F138" s="464">
        <v>2.0858456765056492</v>
      </c>
      <c r="G138" s="464">
        <v>2.1150393198028121</v>
      </c>
      <c r="H138" s="464">
        <v>2.0960407823683633</v>
      </c>
      <c r="I138" s="464">
        <v>1.9709648894580449</v>
      </c>
      <c r="J138" s="464">
        <v>1.9558237270696361</v>
      </c>
      <c r="K138" s="564"/>
      <c r="L138" s="565"/>
      <c r="M138" s="31"/>
      <c r="N138" s="31"/>
      <c r="O138" s="31"/>
    </row>
    <row r="139" spans="2:15">
      <c r="B139" s="460" t="s">
        <v>51</v>
      </c>
      <c r="C139" s="466">
        <v>4.3724011747736116</v>
      </c>
      <c r="D139" s="464">
        <v>4.1057641662653896</v>
      </c>
      <c r="E139" s="464">
        <v>4.0545669929819539</v>
      </c>
      <c r="F139" s="464">
        <v>4.1740927460581894</v>
      </c>
      <c r="G139" s="464">
        <v>4.2397101975440528</v>
      </c>
      <c r="H139" s="464">
        <v>4.2461477210751069</v>
      </c>
      <c r="I139" s="464">
        <v>4.1078523076276792</v>
      </c>
      <c r="J139" s="464">
        <v>4.0575944965475035</v>
      </c>
      <c r="K139" s="564"/>
      <c r="L139" s="565"/>
      <c r="M139" s="31"/>
      <c r="N139" s="31"/>
      <c r="O139" s="31"/>
    </row>
    <row r="140" spans="2:15">
      <c r="B140" s="460" t="s">
        <v>49</v>
      </c>
      <c r="C140" s="466">
        <v>1.3982776671905828</v>
      </c>
      <c r="D140" s="464">
        <v>1.3864649866746799</v>
      </c>
      <c r="E140" s="464">
        <v>1.3673040530931269</v>
      </c>
      <c r="F140" s="464">
        <v>1.3493453776780693</v>
      </c>
      <c r="G140" s="464">
        <v>1.3347777856873293</v>
      </c>
      <c r="H140" s="464">
        <v>1.3354887108693174</v>
      </c>
      <c r="I140" s="464">
        <v>1.3597799661606067</v>
      </c>
      <c r="J140" s="464">
        <v>1.3515240072037848</v>
      </c>
      <c r="K140" s="564"/>
      <c r="L140" s="565"/>
      <c r="M140" s="31"/>
      <c r="N140" s="31"/>
      <c r="O140" s="31"/>
    </row>
    <row r="141" spans="2:15">
      <c r="B141" s="460" t="s">
        <v>113</v>
      </c>
      <c r="C141" s="466">
        <v>-1.1295718210052885</v>
      </c>
      <c r="D141" s="464">
        <v>-1.1444007312827333</v>
      </c>
      <c r="E141" s="464">
        <v>-1.1763817360750841</v>
      </c>
      <c r="F141" s="464">
        <v>-1.5927557463957547</v>
      </c>
      <c r="G141" s="464">
        <v>-1.8565667598967899</v>
      </c>
      <c r="H141" s="464">
        <v>-1.2720416735170972</v>
      </c>
      <c r="I141" s="464">
        <v>-1.1039739947823479</v>
      </c>
      <c r="J141" s="464">
        <v>-1.018311326547777</v>
      </c>
      <c r="K141" s="564"/>
      <c r="L141" s="565"/>
      <c r="M141" s="31"/>
      <c r="N141" s="31"/>
      <c r="O141" s="31"/>
    </row>
    <row r="142" spans="2:15">
      <c r="B142" s="460" t="s">
        <v>114</v>
      </c>
      <c r="C142" s="466">
        <v>-0.43181154987245485</v>
      </c>
      <c r="D142" s="464">
        <v>-0.39947195996305995</v>
      </c>
      <c r="E142" s="464">
        <v>-0.34734317043598018</v>
      </c>
      <c r="F142" s="464">
        <v>-0.3193206524905472</v>
      </c>
      <c r="G142" s="464">
        <v>-0.31265626882301373</v>
      </c>
      <c r="H142" s="464">
        <v>-0.30799379948941219</v>
      </c>
      <c r="I142" s="464">
        <v>-0.32570922921081308</v>
      </c>
      <c r="J142" s="464">
        <v>-0.31552026220892354</v>
      </c>
      <c r="K142" s="564"/>
      <c r="L142" s="565"/>
      <c r="M142" s="31"/>
      <c r="N142" s="31"/>
      <c r="O142" s="31"/>
    </row>
    <row r="143" spans="2:15">
      <c r="B143" s="460" t="s">
        <v>111</v>
      </c>
      <c r="C143" s="466">
        <v>15.168246288518162</v>
      </c>
      <c r="D143" s="464">
        <v>16.275110005972994</v>
      </c>
      <c r="E143" s="464">
        <v>15.614702904478012</v>
      </c>
      <c r="F143" s="464">
        <v>14.911674359737152</v>
      </c>
      <c r="G143" s="464">
        <v>13.033415757853545</v>
      </c>
      <c r="H143" s="464">
        <v>12.556067765830047</v>
      </c>
      <c r="I143" s="464">
        <v>11.285100906339711</v>
      </c>
      <c r="J143" s="464">
        <v>9.8268179419485548</v>
      </c>
      <c r="K143" s="564"/>
      <c r="L143" s="565"/>
      <c r="M143" s="31"/>
      <c r="N143" s="31"/>
      <c r="O143" s="31"/>
    </row>
    <row r="144" spans="2:15">
      <c r="B144" s="460" t="s">
        <v>112</v>
      </c>
      <c r="C144" s="466">
        <v>0.93219394583370063</v>
      </c>
      <c r="D144" s="464">
        <v>0.89969793099769957</v>
      </c>
      <c r="E144" s="464">
        <v>0.87783267686821997</v>
      </c>
      <c r="F144" s="464">
        <v>0.87232109317784756</v>
      </c>
      <c r="G144" s="464">
        <v>0.89875958568159287</v>
      </c>
      <c r="H144" s="464">
        <v>0.82801710222961222</v>
      </c>
      <c r="I144" s="464">
        <v>0.88417658562860901</v>
      </c>
      <c r="J144" s="464">
        <v>0.89982415652833247</v>
      </c>
      <c r="K144" s="564"/>
      <c r="L144" s="565"/>
      <c r="M144" s="31"/>
      <c r="N144" s="31"/>
      <c r="O144" s="31"/>
    </row>
    <row r="145" spans="1:15">
      <c r="B145" s="460" t="s">
        <v>60</v>
      </c>
      <c r="C145" s="466">
        <v>10.952751093909903</v>
      </c>
      <c r="D145" s="464">
        <v>1.3412683602121493</v>
      </c>
      <c r="E145" s="464">
        <v>22.190179414419269</v>
      </c>
      <c r="F145" s="464">
        <v>7.0488483253947072</v>
      </c>
      <c r="G145" s="464">
        <v>6.9020695692988534</v>
      </c>
      <c r="H145" s="464">
        <v>6.9425238085580094</v>
      </c>
      <c r="I145" s="464">
        <v>7.0785069781779111</v>
      </c>
      <c r="J145" s="464">
        <v>5.2688524500291916</v>
      </c>
      <c r="K145" s="564"/>
      <c r="L145" s="565"/>
      <c r="M145" s="31"/>
      <c r="N145" s="31"/>
      <c r="O145" s="31"/>
    </row>
    <row r="146" spans="1:15">
      <c r="B146" s="461" t="s">
        <v>61</v>
      </c>
      <c r="C146" s="467">
        <v>4.7850556060781999</v>
      </c>
      <c r="D146" s="468">
        <v>4.9736597194598335</v>
      </c>
      <c r="E146" s="468">
        <v>5.6988662496343032</v>
      </c>
      <c r="F146" s="468">
        <v>3.7921077312788807</v>
      </c>
      <c r="G146" s="468">
        <v>2.8512563802087829</v>
      </c>
      <c r="H146" s="468">
        <v>2.8799765245720623</v>
      </c>
      <c r="I146" s="468">
        <v>2.9074703511454074</v>
      </c>
      <c r="J146" s="468">
        <v>2.8191074376225309</v>
      </c>
      <c r="K146" s="566"/>
      <c r="L146" s="567"/>
      <c r="M146" s="31"/>
      <c r="N146" s="31"/>
      <c r="O146" s="31"/>
    </row>
    <row r="147" spans="1:15">
      <c r="B147" s="31"/>
      <c r="C147" s="31"/>
      <c r="D147" s="31"/>
      <c r="E147" s="31"/>
      <c r="F147" s="31"/>
      <c r="G147" s="31"/>
      <c r="H147" s="31"/>
      <c r="I147" s="31"/>
      <c r="J147" s="31"/>
      <c r="K147" s="31"/>
      <c r="L147" s="31"/>
      <c r="M147" s="31"/>
      <c r="N147" s="31"/>
      <c r="O147" s="31"/>
    </row>
    <row r="148" spans="1:15">
      <c r="B148" s="400"/>
      <c r="C148" s="366"/>
      <c r="D148" s="366"/>
      <c r="E148" s="366"/>
      <c r="F148" s="366"/>
      <c r="G148" s="366"/>
      <c r="H148" s="366"/>
      <c r="I148" s="366"/>
      <c r="J148" s="366"/>
      <c r="K148" s="31"/>
      <c r="L148" s="31"/>
      <c r="M148" s="31"/>
    </row>
    <row r="149" spans="1:15">
      <c r="B149" s="423" t="str">
        <f>LEFT('RFPR cover'!C6,2)</f>
        <v>ED</v>
      </c>
      <c r="C149" s="421"/>
      <c r="D149" s="421"/>
      <c r="E149" s="421"/>
      <c r="F149" s="421"/>
      <c r="G149" s="421"/>
      <c r="H149" s="421"/>
      <c r="I149" s="421"/>
      <c r="J149" s="421"/>
      <c r="K149" s="421"/>
      <c r="L149" s="422"/>
    </row>
    <row r="150" spans="1:15" ht="14.25" customHeight="1">
      <c r="A150" s="205"/>
      <c r="B150" s="457" t="s">
        <v>390</v>
      </c>
      <c r="C150" s="458"/>
      <c r="D150" s="458"/>
      <c r="E150" s="458"/>
      <c r="F150" s="456"/>
      <c r="G150" s="456"/>
      <c r="H150" s="456"/>
      <c r="I150" s="456"/>
      <c r="J150" s="456"/>
      <c r="K150" s="456"/>
      <c r="L150" s="456"/>
      <c r="M150" s="456"/>
      <c r="N150" s="456"/>
    </row>
    <row r="151" spans="1:15" s="31" customFormat="1" ht="14.25" customHeight="1">
      <c r="A151" s="798"/>
      <c r="B151" s="799"/>
      <c r="C151" s="800"/>
      <c r="D151" s="800"/>
      <c r="E151" s="800"/>
      <c r="F151" s="801"/>
      <c r="G151" s="801"/>
      <c r="H151" s="801"/>
      <c r="I151" s="801"/>
      <c r="J151" s="801"/>
      <c r="K151" s="801"/>
      <c r="L151" s="801"/>
      <c r="M151" s="801"/>
      <c r="N151" s="801"/>
    </row>
    <row r="152" spans="1:15">
      <c r="A152" s="203"/>
      <c r="B152" s="802" t="s">
        <v>396</v>
      </c>
      <c r="C152" s="206"/>
      <c r="D152" s="206"/>
      <c r="E152" s="803" t="b">
        <f>OR((LEFT('RFPR cover'!$C$6,2)=Data!F152),'RFPR cover'!$C$5=Data!F152)</f>
        <v>1</v>
      </c>
      <c r="F152" s="365" t="str">
        <f>B162</f>
        <v>ED</v>
      </c>
      <c r="G152" s="804"/>
    </row>
    <row r="153" spans="1:15">
      <c r="A153" s="203"/>
      <c r="B153" s="819" t="str">
        <f>CHOOSE(MATCH(TRUE,$E$152:$E$159,0),B163,B173,B183,E183,B193,E193,B203,E203)&amp;""</f>
        <v>Broad measure of customer service</v>
      </c>
      <c r="C153" s="206"/>
      <c r="D153" s="206"/>
      <c r="E153" s="805" t="b">
        <f>OR((LEFT('RFPR cover'!$C$6,2)=Data!F153),'RFPR cover'!$C$5=Data!F153)</f>
        <v>0</v>
      </c>
      <c r="F153" s="366" t="str">
        <f>B172</f>
        <v>GD</v>
      </c>
      <c r="G153" s="202"/>
    </row>
    <row r="154" spans="1:15" ht="25.5">
      <c r="A154" s="203"/>
      <c r="B154" s="820" t="str">
        <f t="shared" ref="B154:B160" si="23">CHOOSE(MATCH(TRUE,$E$152:$E$159,0),B164,B174,B184,E184,B194,E194,B204,E204)&amp;""</f>
        <v>Interruptions-related quality of service</v>
      </c>
      <c r="C154" s="206"/>
      <c r="D154" s="206"/>
      <c r="E154" s="805" t="b">
        <f>OR((LEFT('RFPR cover'!$C$6,2)=Data!F154),'RFPR cover'!$C$5=Data!F154)</f>
        <v>0</v>
      </c>
      <c r="F154" s="818" t="str">
        <f>B182</f>
        <v>NGGT (TO)</v>
      </c>
      <c r="G154" s="202"/>
    </row>
    <row r="155" spans="1:15">
      <c r="A155" s="203"/>
      <c r="B155" s="820" t="str">
        <f t="shared" si="23"/>
        <v>Incentive on connections engagement</v>
      </c>
      <c r="C155" s="206"/>
      <c r="D155" s="206"/>
      <c r="E155" s="805" t="b">
        <f>OR((LEFT('RFPR cover'!$C$6,2)=Data!F155),'RFPR cover'!$C$5=Data!F155)</f>
        <v>0</v>
      </c>
      <c r="F155" s="806" t="str">
        <f>E182</f>
        <v>NGGT (SO)</v>
      </c>
      <c r="G155" s="202"/>
    </row>
    <row r="156" spans="1:15">
      <c r="A156" s="203"/>
      <c r="B156" s="820" t="str">
        <f t="shared" si="23"/>
        <v>Time to Connect Incentive</v>
      </c>
      <c r="C156" s="206"/>
      <c r="D156" s="206"/>
      <c r="E156" s="805" t="b">
        <f>OR((LEFT('RFPR cover'!$C$6,2)=Data!F156),'RFPR cover'!$C$5=Data!F156)</f>
        <v>0</v>
      </c>
      <c r="F156" s="806" t="str">
        <f>B192</f>
        <v>NGET (TO)</v>
      </c>
      <c r="G156" s="202"/>
    </row>
    <row r="157" spans="1:15">
      <c r="A157" s="203"/>
      <c r="B157" s="821" t="str">
        <f t="shared" si="23"/>
        <v>Losses discretionary reward scheme</v>
      </c>
      <c r="C157" s="206"/>
      <c r="D157" s="206"/>
      <c r="E157" s="805" t="b">
        <f>OR((LEFT('RFPR cover'!$C$6,2)=Data!F157),'RFPR cover'!$C$5=Data!F157)</f>
        <v>0</v>
      </c>
      <c r="F157" s="806" t="str">
        <f>E192</f>
        <v>NGESO</v>
      </c>
      <c r="G157" s="202"/>
    </row>
    <row r="158" spans="1:15">
      <c r="A158" s="203"/>
      <c r="B158" s="821" t="str">
        <f t="shared" si="23"/>
        <v/>
      </c>
      <c r="C158" s="206"/>
      <c r="D158" s="206"/>
      <c r="E158" s="805" t="b">
        <f>OR((LEFT('RFPR cover'!$C$6,2)=Data!F158),'RFPR cover'!$C$5=Data!F158)</f>
        <v>0</v>
      </c>
      <c r="F158" s="806" t="str">
        <f>B202</f>
        <v>SPT</v>
      </c>
      <c r="G158" s="202"/>
    </row>
    <row r="159" spans="1:15">
      <c r="A159" s="203"/>
      <c r="B159" s="821" t="str">
        <f t="shared" si="23"/>
        <v/>
      </c>
      <c r="C159" s="206"/>
      <c r="D159" s="206"/>
      <c r="E159" s="807" t="b">
        <f>OR((LEFT('RFPR cover'!$C$6,2)=Data!F159),'RFPR cover'!$C$5=Data!F159)</f>
        <v>0</v>
      </c>
      <c r="F159" s="808" t="str">
        <f>E202</f>
        <v>SHET</v>
      </c>
      <c r="G159" s="297"/>
    </row>
    <row r="160" spans="1:15">
      <c r="A160" s="203"/>
      <c r="B160" s="206" t="str">
        <f t="shared" si="23"/>
        <v/>
      </c>
      <c r="C160" s="206"/>
      <c r="D160" s="206"/>
      <c r="E160" s="59"/>
      <c r="F160" s="806"/>
      <c r="G160" s="42"/>
    </row>
    <row r="161" spans="1:7">
      <c r="A161" s="203"/>
      <c r="B161" s="206"/>
      <c r="C161" s="206"/>
      <c r="D161" s="206"/>
      <c r="E161" s="59"/>
      <c r="F161" s="806"/>
      <c r="G161" s="42"/>
    </row>
    <row r="162" spans="1:7" ht="12" customHeight="1">
      <c r="A162" s="203"/>
      <c r="B162" s="968" t="s">
        <v>171</v>
      </c>
      <c r="C162" s="964"/>
      <c r="D162" s="206"/>
      <c r="E162" s="206"/>
    </row>
    <row r="163" spans="1:7">
      <c r="A163" s="203"/>
      <c r="B163" s="969" t="s">
        <v>391</v>
      </c>
      <c r="C163" s="970"/>
      <c r="D163" s="206"/>
      <c r="E163" s="206"/>
    </row>
    <row r="164" spans="1:7">
      <c r="A164" s="203"/>
      <c r="B164" s="969" t="s">
        <v>392</v>
      </c>
      <c r="C164" s="970"/>
      <c r="D164" s="206"/>
      <c r="E164" s="206"/>
    </row>
    <row r="165" spans="1:7">
      <c r="A165" s="203"/>
      <c r="B165" s="971" t="s">
        <v>393</v>
      </c>
      <c r="C165" s="972"/>
      <c r="D165" s="206"/>
      <c r="E165" s="206"/>
    </row>
    <row r="166" spans="1:7">
      <c r="A166" s="203"/>
      <c r="B166" s="971" t="s">
        <v>394</v>
      </c>
      <c r="C166" s="972"/>
      <c r="D166" s="206"/>
      <c r="E166" s="206"/>
    </row>
    <row r="167" spans="1:7">
      <c r="A167" s="203"/>
      <c r="B167" s="971" t="s">
        <v>395</v>
      </c>
      <c r="C167" s="972"/>
      <c r="D167" s="206"/>
      <c r="E167" s="206"/>
    </row>
    <row r="168" spans="1:7">
      <c r="A168" s="203"/>
      <c r="B168" s="971"/>
      <c r="C168" s="972"/>
      <c r="D168" s="206"/>
      <c r="E168" s="206"/>
    </row>
    <row r="169" spans="1:7">
      <c r="A169" s="203"/>
      <c r="B169" s="971"/>
      <c r="C169" s="972"/>
      <c r="D169" s="206"/>
      <c r="E169" s="206"/>
    </row>
    <row r="170" spans="1:7">
      <c r="A170" s="203"/>
      <c r="B170" s="206"/>
      <c r="C170" s="206"/>
      <c r="D170" s="206"/>
      <c r="E170" s="206"/>
    </row>
    <row r="171" spans="1:7">
      <c r="A171" s="203"/>
      <c r="B171" s="206"/>
      <c r="C171" s="206"/>
      <c r="D171" s="206"/>
      <c r="E171" s="206"/>
    </row>
    <row r="172" spans="1:7">
      <c r="A172" s="203"/>
      <c r="B172" s="968" t="s">
        <v>172</v>
      </c>
      <c r="C172" s="964"/>
      <c r="D172" s="206"/>
      <c r="E172" s="206"/>
    </row>
    <row r="173" spans="1:7" ht="12.75" customHeight="1">
      <c r="A173" s="203"/>
      <c r="B173" s="965" t="s">
        <v>222</v>
      </c>
      <c r="C173" s="967"/>
      <c r="D173" s="206"/>
      <c r="E173" s="206"/>
    </row>
    <row r="174" spans="1:7" ht="12.75" customHeight="1">
      <c r="A174" s="203"/>
      <c r="B174" s="959" t="s">
        <v>223</v>
      </c>
      <c r="C174" s="961"/>
      <c r="D174" s="206"/>
      <c r="E174" s="206"/>
    </row>
    <row r="175" spans="1:7" ht="12.75" customHeight="1">
      <c r="A175" s="203"/>
      <c r="B175" s="959" t="s">
        <v>224</v>
      </c>
      <c r="C175" s="961"/>
      <c r="D175" s="206"/>
      <c r="E175" s="206"/>
    </row>
    <row r="176" spans="1:7" ht="12.75" customHeight="1">
      <c r="A176" s="203"/>
      <c r="B176" s="959" t="s">
        <v>225</v>
      </c>
      <c r="C176" s="961"/>
      <c r="D176" s="206"/>
      <c r="E176" s="206"/>
    </row>
    <row r="177" spans="1:9" ht="12.75" customHeight="1">
      <c r="A177" s="203"/>
      <c r="B177" s="956" t="s">
        <v>306</v>
      </c>
      <c r="C177" s="958"/>
      <c r="D177" s="206"/>
      <c r="E177" s="206"/>
    </row>
    <row r="178" spans="1:9" ht="12.75" customHeight="1">
      <c r="A178" s="203"/>
      <c r="B178" s="956"/>
      <c r="C178" s="958"/>
      <c r="D178" s="206"/>
      <c r="E178" s="206"/>
    </row>
    <row r="179" spans="1:9" ht="12.75" customHeight="1">
      <c r="A179" s="203"/>
      <c r="B179" s="956"/>
      <c r="C179" s="958"/>
      <c r="D179" s="206"/>
      <c r="E179" s="206"/>
    </row>
    <row r="180" spans="1:9">
      <c r="A180" s="203"/>
      <c r="B180" s="206"/>
      <c r="C180" s="206"/>
      <c r="D180" s="206"/>
      <c r="E180" s="206"/>
    </row>
    <row r="181" spans="1:9">
      <c r="A181" s="203"/>
      <c r="B181" s="206"/>
      <c r="C181" s="206"/>
      <c r="D181" s="206"/>
      <c r="E181" s="206"/>
    </row>
    <row r="182" spans="1:9">
      <c r="A182" s="203"/>
      <c r="B182" s="962" t="str">
        <f>B95</f>
        <v>NGGT (TO)</v>
      </c>
      <c r="C182" s="994"/>
      <c r="D182" s="206"/>
      <c r="E182" s="962" t="str">
        <f>B96</f>
        <v>NGGT (SO)</v>
      </c>
      <c r="F182" s="963"/>
      <c r="G182" s="963"/>
      <c r="H182" s="963"/>
      <c r="I182" s="964"/>
    </row>
    <row r="183" spans="1:9" ht="12.4" customHeight="1">
      <c r="A183" s="203"/>
      <c r="B183" s="965" t="s">
        <v>218</v>
      </c>
      <c r="C183" s="967"/>
      <c r="D183" s="206"/>
      <c r="E183" s="959" t="s">
        <v>542</v>
      </c>
      <c r="F183" s="960" t="s">
        <v>542</v>
      </c>
      <c r="G183" s="960" t="s">
        <v>542</v>
      </c>
      <c r="H183" s="960" t="s">
        <v>542</v>
      </c>
      <c r="I183" s="961" t="s">
        <v>542</v>
      </c>
    </row>
    <row r="184" spans="1:9" ht="12.4" customHeight="1">
      <c r="A184" s="203"/>
      <c r="B184" s="959" t="s">
        <v>226</v>
      </c>
      <c r="C184" s="961"/>
      <c r="D184" s="206"/>
      <c r="E184" s="959" t="s">
        <v>543</v>
      </c>
      <c r="F184" s="960" t="s">
        <v>543</v>
      </c>
      <c r="G184" s="960" t="s">
        <v>543</v>
      </c>
      <c r="H184" s="960" t="s">
        <v>543</v>
      </c>
      <c r="I184" s="961" t="s">
        <v>543</v>
      </c>
    </row>
    <row r="185" spans="1:9" ht="12.4" customHeight="1">
      <c r="A185" s="203"/>
      <c r="B185" s="959"/>
      <c r="C185" s="961"/>
      <c r="D185" s="206"/>
      <c r="E185" s="959" t="s">
        <v>544</v>
      </c>
      <c r="F185" s="960" t="s">
        <v>544</v>
      </c>
      <c r="G185" s="960" t="s">
        <v>544</v>
      </c>
      <c r="H185" s="960" t="s">
        <v>544</v>
      </c>
      <c r="I185" s="961" t="s">
        <v>544</v>
      </c>
    </row>
    <row r="186" spans="1:9" ht="12.4" customHeight="1">
      <c r="A186" s="203"/>
      <c r="B186" s="959"/>
      <c r="C186" s="961"/>
      <c r="D186" s="206"/>
      <c r="E186" s="959" t="s">
        <v>545</v>
      </c>
      <c r="F186" s="960" t="s">
        <v>545</v>
      </c>
      <c r="G186" s="960" t="s">
        <v>545</v>
      </c>
      <c r="H186" s="960" t="s">
        <v>545</v>
      </c>
      <c r="I186" s="961" t="s">
        <v>545</v>
      </c>
    </row>
    <row r="187" spans="1:9" ht="12.4" customHeight="1">
      <c r="A187" s="203"/>
      <c r="B187" s="956"/>
      <c r="C187" s="958"/>
      <c r="D187" s="206"/>
      <c r="E187" s="959" t="s">
        <v>546</v>
      </c>
      <c r="F187" s="960" t="s">
        <v>546</v>
      </c>
      <c r="G187" s="960" t="s">
        <v>546</v>
      </c>
      <c r="H187" s="960" t="s">
        <v>546</v>
      </c>
      <c r="I187" s="961" t="s">
        <v>546</v>
      </c>
    </row>
    <row r="188" spans="1:9" ht="12.4" customHeight="1">
      <c r="A188" s="203"/>
      <c r="B188" s="956"/>
      <c r="C188" s="958"/>
      <c r="D188" s="206"/>
      <c r="E188" s="959" t="s">
        <v>547</v>
      </c>
      <c r="F188" s="960" t="s">
        <v>547</v>
      </c>
      <c r="G188" s="960" t="s">
        <v>547</v>
      </c>
      <c r="H188" s="960" t="s">
        <v>547</v>
      </c>
      <c r="I188" s="961" t="s">
        <v>547</v>
      </c>
    </row>
    <row r="189" spans="1:9" ht="12.4" customHeight="1">
      <c r="A189" s="203"/>
      <c r="B189" s="956"/>
      <c r="C189" s="958"/>
      <c r="D189" s="206"/>
      <c r="E189" s="959" t="s">
        <v>548</v>
      </c>
      <c r="F189" s="960" t="s">
        <v>548</v>
      </c>
      <c r="G189" s="960" t="s">
        <v>548</v>
      </c>
      <c r="H189" s="960" t="s">
        <v>548</v>
      </c>
      <c r="I189" s="961" t="s">
        <v>548</v>
      </c>
    </row>
    <row r="190" spans="1:9">
      <c r="A190" s="203"/>
      <c r="B190" s="206"/>
      <c r="C190" s="206"/>
      <c r="D190" s="206"/>
      <c r="E190" s="206"/>
    </row>
    <row r="191" spans="1:9">
      <c r="A191" s="203"/>
      <c r="B191" s="206"/>
      <c r="C191" s="206"/>
      <c r="D191" s="206"/>
      <c r="E191" s="206"/>
    </row>
    <row r="192" spans="1:9">
      <c r="A192" s="203"/>
      <c r="B192" s="962" t="str">
        <f>B97</f>
        <v>NGET (TO)</v>
      </c>
      <c r="C192" s="994"/>
      <c r="D192" s="206"/>
      <c r="E192" s="962" t="str">
        <f>B98</f>
        <v>NGESO</v>
      </c>
      <c r="F192" s="963"/>
      <c r="G192" s="963"/>
      <c r="H192" s="963"/>
      <c r="I192" s="964"/>
    </row>
    <row r="193" spans="1:9" ht="12.75" customHeight="1">
      <c r="A193" s="203"/>
      <c r="B193" s="965" t="s">
        <v>217</v>
      </c>
      <c r="C193" s="967"/>
      <c r="D193" s="206"/>
      <c r="E193" s="959" t="s">
        <v>549</v>
      </c>
      <c r="F193" s="960" t="s">
        <v>549</v>
      </c>
      <c r="G193" s="960" t="s">
        <v>549</v>
      </c>
      <c r="H193" s="960" t="s">
        <v>549</v>
      </c>
      <c r="I193" s="961" t="s">
        <v>549</v>
      </c>
    </row>
    <row r="194" spans="1:9" ht="12.75" customHeight="1">
      <c r="A194" s="203"/>
      <c r="B194" s="959" t="s">
        <v>218</v>
      </c>
      <c r="C194" s="961"/>
      <c r="D194" s="206"/>
      <c r="E194" s="959" t="s">
        <v>550</v>
      </c>
      <c r="F194" s="960" t="s">
        <v>550</v>
      </c>
      <c r="G194" s="960" t="s">
        <v>550</v>
      </c>
      <c r="H194" s="960" t="s">
        <v>550</v>
      </c>
      <c r="I194" s="961" t="s">
        <v>550</v>
      </c>
    </row>
    <row r="195" spans="1:9" ht="12.75" customHeight="1">
      <c r="A195" s="203"/>
      <c r="B195" s="959" t="s">
        <v>219</v>
      </c>
      <c r="C195" s="961"/>
      <c r="D195" s="206"/>
      <c r="E195" s="959" t="s">
        <v>551</v>
      </c>
      <c r="F195" s="960" t="s">
        <v>551</v>
      </c>
      <c r="G195" s="960" t="s">
        <v>551</v>
      </c>
      <c r="H195" s="960" t="s">
        <v>551</v>
      </c>
      <c r="I195" s="961" t="s">
        <v>551</v>
      </c>
    </row>
    <row r="196" spans="1:9" ht="12.75" customHeight="1">
      <c r="A196" s="203"/>
      <c r="B196" s="959" t="s">
        <v>220</v>
      </c>
      <c r="C196" s="961"/>
      <c r="D196" s="206"/>
      <c r="E196" s="959" t="s">
        <v>564</v>
      </c>
      <c r="F196" s="960"/>
      <c r="G196" s="960"/>
      <c r="H196" s="960"/>
      <c r="I196" s="961"/>
    </row>
    <row r="197" spans="1:9" ht="12.75" customHeight="1">
      <c r="A197" s="203"/>
      <c r="B197" s="956"/>
      <c r="C197" s="958"/>
      <c r="D197" s="206"/>
      <c r="E197" s="956"/>
      <c r="F197" s="957"/>
      <c r="G197" s="957"/>
      <c r="H197" s="957"/>
      <c r="I197" s="958"/>
    </row>
    <row r="198" spans="1:9" ht="12.75" customHeight="1">
      <c r="A198" s="203"/>
      <c r="B198" s="956"/>
      <c r="C198" s="958"/>
      <c r="D198" s="206"/>
      <c r="E198" s="956"/>
      <c r="F198" s="957"/>
      <c r="G198" s="957"/>
      <c r="H198" s="957"/>
      <c r="I198" s="958"/>
    </row>
    <row r="199" spans="1:9" ht="12.75" customHeight="1">
      <c r="A199" s="203"/>
      <c r="B199" s="956"/>
      <c r="C199" s="958"/>
      <c r="D199" s="206"/>
      <c r="E199" s="956"/>
      <c r="F199" s="957"/>
      <c r="G199" s="957"/>
      <c r="H199" s="957"/>
      <c r="I199" s="958"/>
    </row>
    <row r="200" spans="1:9" s="31" customFormat="1" ht="12.75" customHeight="1">
      <c r="A200" s="795"/>
      <c r="B200" s="795"/>
      <c r="C200" s="795"/>
      <c r="D200" s="796"/>
      <c r="E200" s="797"/>
      <c r="F200" s="797"/>
      <c r="G200" s="797"/>
      <c r="H200" s="797"/>
      <c r="I200" s="797"/>
    </row>
    <row r="201" spans="1:9" s="31" customFormat="1" ht="12.75" customHeight="1">
      <c r="A201" s="795"/>
      <c r="B201" s="795"/>
      <c r="C201" s="795"/>
      <c r="D201" s="796"/>
      <c r="E201" s="797"/>
      <c r="F201" s="797"/>
      <c r="G201" s="797"/>
      <c r="H201" s="797"/>
      <c r="I201" s="797"/>
    </row>
    <row r="202" spans="1:9">
      <c r="A202" s="203"/>
      <c r="B202" s="962" t="str">
        <f>B145</f>
        <v>SPT</v>
      </c>
      <c r="C202" s="994"/>
      <c r="D202" s="206"/>
      <c r="E202" s="962" t="str">
        <f>B100</f>
        <v>SHET</v>
      </c>
      <c r="F202" s="963"/>
      <c r="G202" s="963"/>
      <c r="H202" s="963"/>
      <c r="I202" s="964"/>
    </row>
    <row r="203" spans="1:9" ht="12.75" customHeight="1">
      <c r="A203" s="203"/>
      <c r="B203" s="965" t="s">
        <v>217</v>
      </c>
      <c r="C203" s="967"/>
      <c r="D203" s="206"/>
      <c r="E203" s="965" t="s">
        <v>217</v>
      </c>
      <c r="F203" s="966"/>
      <c r="G203" s="966"/>
      <c r="H203" s="966"/>
      <c r="I203" s="967"/>
    </row>
    <row r="204" spans="1:9" ht="12.75" customHeight="1">
      <c r="A204" s="203"/>
      <c r="B204" s="959" t="s">
        <v>218</v>
      </c>
      <c r="C204" s="961"/>
      <c r="D204" s="206"/>
      <c r="E204" s="959" t="s">
        <v>218</v>
      </c>
      <c r="F204" s="960"/>
      <c r="G204" s="960"/>
      <c r="H204" s="960"/>
      <c r="I204" s="961"/>
    </row>
    <row r="205" spans="1:9" ht="12.75" customHeight="1">
      <c r="A205" s="203"/>
      <c r="B205" s="959" t="s">
        <v>219</v>
      </c>
      <c r="C205" s="961"/>
      <c r="D205" s="206"/>
      <c r="E205" s="959" t="s">
        <v>219</v>
      </c>
      <c r="F205" s="960"/>
      <c r="G205" s="960"/>
      <c r="H205" s="960"/>
      <c r="I205" s="961"/>
    </row>
    <row r="206" spans="1:9" ht="12.75" customHeight="1">
      <c r="A206" s="203"/>
      <c r="B206" s="959" t="s">
        <v>220</v>
      </c>
      <c r="C206" s="961"/>
      <c r="D206" s="206"/>
      <c r="E206" s="959" t="s">
        <v>220</v>
      </c>
      <c r="F206" s="960"/>
      <c r="G206" s="960"/>
      <c r="H206" s="960"/>
      <c r="I206" s="961"/>
    </row>
    <row r="207" spans="1:9" ht="12.75" customHeight="1">
      <c r="A207" s="203"/>
      <c r="B207" s="956" t="s">
        <v>221</v>
      </c>
      <c r="C207" s="958"/>
      <c r="D207" s="206"/>
      <c r="E207" s="956" t="s">
        <v>221</v>
      </c>
      <c r="F207" s="957"/>
      <c r="G207" s="957"/>
      <c r="H207" s="957"/>
      <c r="I207" s="958"/>
    </row>
    <row r="208" spans="1:9" ht="12.75" customHeight="1">
      <c r="A208" s="203"/>
      <c r="B208" s="956"/>
      <c r="C208" s="958"/>
      <c r="D208" s="206"/>
      <c r="E208" s="956"/>
      <c r="F208" s="957"/>
      <c r="G208" s="957"/>
      <c r="H208" s="957"/>
      <c r="I208" s="958"/>
    </row>
    <row r="209" spans="1:14" ht="12.75" customHeight="1">
      <c r="A209" s="203"/>
      <c r="B209" s="956"/>
      <c r="C209" s="958"/>
      <c r="D209" s="206"/>
      <c r="E209" s="956"/>
      <c r="F209" s="957"/>
      <c r="G209" s="957"/>
      <c r="H209" s="957"/>
      <c r="I209" s="958"/>
    </row>
    <row r="210" spans="1:14">
      <c r="A210" s="203"/>
      <c r="D210" s="206"/>
      <c r="E210" s="206"/>
    </row>
    <row r="211" spans="1:14">
      <c r="A211" s="203"/>
      <c r="D211" s="206"/>
      <c r="E211" s="206"/>
    </row>
    <row r="212" spans="1:14" ht="12.75" customHeight="1">
      <c r="A212" s="203"/>
      <c r="B212" s="993" t="s">
        <v>239</v>
      </c>
      <c r="C212" s="993"/>
      <c r="D212" s="993"/>
      <c r="E212" s="285"/>
      <c r="F212" s="217"/>
      <c r="G212" s="217"/>
      <c r="H212" s="217"/>
      <c r="I212" s="217"/>
      <c r="J212" s="217"/>
      <c r="K212" s="217"/>
      <c r="L212" s="217"/>
      <c r="M212" s="217"/>
      <c r="N212" s="217"/>
    </row>
    <row r="213" spans="1:14">
      <c r="A213" s="203"/>
      <c r="B213" s="206"/>
      <c r="C213" s="206"/>
      <c r="D213" s="206"/>
      <c r="E213" s="206"/>
    </row>
    <row r="214" spans="1:14" ht="25.5">
      <c r="A214" s="203"/>
      <c r="B214" s="208" t="s">
        <v>129</v>
      </c>
      <c r="C214" s="207" t="s">
        <v>207</v>
      </c>
      <c r="D214" s="206"/>
      <c r="E214" s="206"/>
    </row>
    <row r="215" spans="1:14" ht="25.5">
      <c r="A215" s="203"/>
      <c r="B215" s="209" t="s">
        <v>130</v>
      </c>
      <c r="C215" s="290" t="s">
        <v>208</v>
      </c>
      <c r="D215" s="206"/>
      <c r="E215" s="206"/>
    </row>
    <row r="216" spans="1:14">
      <c r="B216" s="305"/>
      <c r="C216" s="42"/>
      <c r="D216" s="42"/>
      <c r="E216" s="42"/>
      <c r="F216" s="42"/>
      <c r="G216" s="42"/>
      <c r="H216" s="42"/>
      <c r="I216" s="42"/>
      <c r="J216" s="42"/>
    </row>
    <row r="217" spans="1:14">
      <c r="B217" s="204"/>
      <c r="I217" s="67"/>
    </row>
    <row r="218" spans="1:14">
      <c r="B218" s="811" t="s">
        <v>398</v>
      </c>
      <c r="I218" s="67"/>
    </row>
    <row r="219" spans="1:14">
      <c r="B219" s="813" t="s">
        <v>288</v>
      </c>
    </row>
    <row r="220" spans="1:14">
      <c r="B220" s="814" t="s">
        <v>287</v>
      </c>
    </row>
    <row r="221" spans="1:14">
      <c r="B221" s="817" t="s">
        <v>285</v>
      </c>
    </row>
    <row r="222" spans="1:14">
      <c r="B222" s="815"/>
    </row>
    <row r="223" spans="1:14">
      <c r="B223" s="213"/>
    </row>
    <row r="224" spans="1:14">
      <c r="B224" s="812" t="s">
        <v>283</v>
      </c>
    </row>
    <row r="225" spans="2:2">
      <c r="B225" s="816" t="s">
        <v>399</v>
      </c>
    </row>
    <row r="226" spans="2:2">
      <c r="B226" s="814" t="s">
        <v>400</v>
      </c>
    </row>
    <row r="227" spans="2:2">
      <c r="B227" s="814" t="s">
        <v>294</v>
      </c>
    </row>
    <row r="228" spans="2:2">
      <c r="B228" s="814" t="s">
        <v>401</v>
      </c>
    </row>
    <row r="229" spans="2:2">
      <c r="B229" s="814" t="s">
        <v>402</v>
      </c>
    </row>
    <row r="230" spans="2:2">
      <c r="B230" s="814" t="s">
        <v>286</v>
      </c>
    </row>
    <row r="231" spans="2:2">
      <c r="B231" s="814" t="s">
        <v>403</v>
      </c>
    </row>
    <row r="232" spans="2:2">
      <c r="B232" s="814"/>
    </row>
    <row r="233" spans="2:2">
      <c r="B233" s="815"/>
    </row>
    <row r="234" spans="2:2">
      <c r="B234" s="213"/>
    </row>
    <row r="235" spans="2:2">
      <c r="B235" s="812" t="s">
        <v>293</v>
      </c>
    </row>
    <row r="236" spans="2:2">
      <c r="B236" s="816" t="s">
        <v>404</v>
      </c>
    </row>
    <row r="237" spans="2:2">
      <c r="B237" s="814" t="s">
        <v>405</v>
      </c>
    </row>
    <row r="238" spans="2:2">
      <c r="B238" s="814" t="s">
        <v>406</v>
      </c>
    </row>
    <row r="239" spans="2:2">
      <c r="B239" s="814" t="s">
        <v>407</v>
      </c>
    </row>
    <row r="240" spans="2:2">
      <c r="B240" s="814" t="s">
        <v>408</v>
      </c>
    </row>
    <row r="241" spans="2:2">
      <c r="B241" s="815"/>
    </row>
    <row r="242" spans="2:2">
      <c r="B242" s="213"/>
    </row>
    <row r="243" spans="2:2">
      <c r="B243" s="812" t="s">
        <v>409</v>
      </c>
    </row>
    <row r="244" spans="2:2">
      <c r="B244" s="816" t="s">
        <v>410</v>
      </c>
    </row>
    <row r="245" spans="2:2">
      <c r="B245" s="814" t="s">
        <v>411</v>
      </c>
    </row>
    <row r="246" spans="2:2">
      <c r="B246" s="815"/>
    </row>
    <row r="247" spans="2:2">
      <c r="B247" s="213"/>
    </row>
    <row r="248" spans="2:2">
      <c r="B248" s="812" t="s">
        <v>412</v>
      </c>
    </row>
    <row r="249" spans="2:2">
      <c r="B249" s="816" t="s">
        <v>453</v>
      </c>
    </row>
    <row r="250" spans="2:2">
      <c r="B250" s="814" t="s">
        <v>452</v>
      </c>
    </row>
    <row r="251" spans="2:2">
      <c r="B251" s="815" t="s">
        <v>268</v>
      </c>
    </row>
    <row r="252" spans="2:2">
      <c r="B252" s="213"/>
    </row>
    <row r="253" spans="2:2">
      <c r="B253" s="812" t="s">
        <v>284</v>
      </c>
    </row>
    <row r="254" spans="2:2">
      <c r="B254" s="816" t="s">
        <v>413</v>
      </c>
    </row>
    <row r="255" spans="2:2">
      <c r="B255" s="814" t="s">
        <v>457</v>
      </c>
    </row>
    <row r="256" spans="2:2">
      <c r="B256" s="814"/>
    </row>
    <row r="257" spans="2:2">
      <c r="B257" s="815"/>
    </row>
    <row r="258" spans="2:2">
      <c r="B258" s="213"/>
    </row>
    <row r="259" spans="2:2">
      <c r="B259" s="812" t="s">
        <v>289</v>
      </c>
    </row>
    <row r="260" spans="2:2">
      <c r="B260" s="816" t="s">
        <v>290</v>
      </c>
    </row>
    <row r="261" spans="2:2">
      <c r="B261" s="814" t="s">
        <v>295</v>
      </c>
    </row>
    <row r="262" spans="2:2">
      <c r="B262" s="814"/>
    </row>
    <row r="263" spans="2:2">
      <c r="B263" s="815"/>
    </row>
    <row r="264" spans="2:2">
      <c r="B264" s="213"/>
    </row>
    <row r="265" spans="2:2">
      <c r="B265" s="812" t="s">
        <v>414</v>
      </c>
    </row>
    <row r="266" spans="2:2">
      <c r="B266" s="816" t="s">
        <v>288</v>
      </c>
    </row>
    <row r="267" spans="2:2">
      <c r="B267" s="814" t="s">
        <v>287</v>
      </c>
    </row>
    <row r="268" spans="2:2">
      <c r="B268" s="815"/>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72" priority="20">
      <formula>AND(#REF!="Actuals",#REF!="Forecast")</formula>
    </cfRule>
  </conditionalFormatting>
  <conditionalFormatting sqref="C47">
    <cfRule type="expression" dxfId="71" priority="18">
      <formula>AND(#REF!="Actuals",#REF!="Forecast")</formula>
    </cfRule>
  </conditionalFormatting>
  <conditionalFormatting sqref="C50:J50">
    <cfRule type="expression" dxfId="70" priority="17">
      <formula>AND(#REF!="Actuals",#REF!="Forecast")</formula>
    </cfRule>
  </conditionalFormatting>
  <conditionalFormatting sqref="B14:D30">
    <cfRule type="cellIs" dxfId="69" priority="14" operator="equal">
      <formula>"Forecast"</formula>
    </cfRule>
  </conditionalFormatting>
  <conditionalFormatting sqref="B23:C30 E26:F27">
    <cfRule type="expression" dxfId="68" priority="111">
      <formula>$D13="Forecast"</formula>
    </cfRule>
  </conditionalFormatting>
  <conditionalFormatting sqref="K71">
    <cfRule type="expression" dxfId="67" priority="5">
      <formula>AND(#REF!="Actuals",#REF!="Forecast")</formula>
    </cfRule>
  </conditionalFormatting>
  <conditionalFormatting sqref="K72:T72">
    <cfRule type="expression" dxfId="66" priority="4">
      <formula>AND(#REF!="Actuals",#REF!="Forecast")</formula>
    </cfRule>
  </conditionalFormatting>
  <conditionalFormatting sqref="C62:L62">
    <cfRule type="expression" dxfId="65" priority="3">
      <formula>AND(#REF!="Actuals",#REF!="Forecast")</formula>
    </cfRule>
  </conditionalFormatting>
  <conditionalFormatting sqref="C118:L118">
    <cfRule type="expression" dxfId="64" priority="1">
      <formula>AND(#REF!="Actuals",#REF!="Forecast")</formula>
    </cfRule>
  </conditionalFormatting>
  <hyperlinks>
    <hyperlink ref="K39" r:id="rId1" display="August 2018 Publication" xr:uid="{00000000-0004-0000-0100-000000000000}"/>
    <hyperlink ref="K39:M39" r:id="rId2" display="May 2021 Publication" xr:uid="{00000000-0004-0000-0100-000001000000}"/>
  </hyperlinks>
  <pageMargins left="0.7" right="0.7" top="0.75" bottom="0.75" header="0.3" footer="0.3"/>
  <pageSetup paperSize="9" orientation="portrait" r:id="rId3"/>
  <headerFooter>
    <oddFooter>&amp;C&amp;1#&amp;"Calibri"&amp;12&amp;K008000Internal Use</oddFooter>
  </headerFooter>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heetView>
  </sheetViews>
  <sheetFormatPr defaultRowHeight="12.75"/>
  <cols>
    <col min="1" max="1" width="8.375" customWidth="1"/>
    <col min="2" max="2" width="23.75" customWidth="1"/>
    <col min="3" max="3" width="25.75" customWidth="1"/>
    <col min="4" max="4" width="9.75" customWidth="1"/>
  </cols>
  <sheetData>
    <row r="1" spans="1:14" s="31" customFormat="1" ht="20.25">
      <c r="A1" s="907" t="s">
        <v>83</v>
      </c>
      <c r="B1" s="907"/>
      <c r="C1" s="907"/>
      <c r="D1" s="907"/>
      <c r="E1" s="907"/>
      <c r="F1" s="907"/>
      <c r="G1" s="907"/>
      <c r="H1" s="907"/>
      <c r="I1" s="32" t="s">
        <v>84</v>
      </c>
      <c r="J1" s="33"/>
      <c r="K1" s="33"/>
      <c r="L1" s="33"/>
      <c r="M1" s="33"/>
    </row>
    <row r="2" spans="1:14" s="31" customFormat="1" ht="20.25">
      <c r="A2" s="907" t="str">
        <f>'RFPR cover'!C5</f>
        <v>SPD</v>
      </c>
      <c r="B2" s="907"/>
      <c r="C2" s="907"/>
      <c r="D2" s="907"/>
      <c r="E2" s="907"/>
      <c r="F2" s="907"/>
      <c r="G2" s="907"/>
      <c r="H2" s="907"/>
      <c r="I2" s="33"/>
      <c r="J2" s="33"/>
      <c r="K2" s="33"/>
      <c r="L2" s="33"/>
      <c r="M2" s="33"/>
      <c r="N2" s="366"/>
    </row>
    <row r="3" spans="1:14" s="31" customFormat="1" ht="20.25">
      <c r="A3" s="907">
        <f>'RFPR cover'!C7</f>
        <v>2021</v>
      </c>
      <c r="B3" s="907"/>
      <c r="C3" s="907"/>
      <c r="D3" s="907"/>
      <c r="E3" s="907"/>
      <c r="F3" s="907"/>
      <c r="G3" s="907"/>
      <c r="H3" s="907"/>
      <c r="I3" s="33"/>
      <c r="J3" s="33"/>
      <c r="K3" s="33"/>
      <c r="L3" s="33"/>
      <c r="M3" s="33"/>
      <c r="N3" s="366"/>
    </row>
    <row r="4" spans="1:14">
      <c r="A4" s="24"/>
      <c r="B4" s="24"/>
      <c r="C4" s="24"/>
      <c r="D4" s="24"/>
      <c r="E4" s="24"/>
      <c r="F4" s="24"/>
      <c r="G4" s="24"/>
      <c r="H4" s="24"/>
      <c r="I4" s="549"/>
      <c r="J4" s="549"/>
      <c r="K4" s="549"/>
      <c r="L4" s="549"/>
      <c r="M4" s="549"/>
      <c r="N4" s="42"/>
    </row>
    <row r="5" spans="1:14">
      <c r="A5" s="24"/>
      <c r="B5" s="24"/>
      <c r="C5" s="24"/>
      <c r="D5" s="24"/>
      <c r="E5" s="24"/>
      <c r="F5" s="24"/>
      <c r="G5" s="24"/>
      <c r="H5" s="24"/>
      <c r="I5" s="549"/>
      <c r="J5" s="549"/>
      <c r="K5" s="549"/>
      <c r="L5" s="549"/>
      <c r="M5" s="549"/>
      <c r="N5" s="42"/>
    </row>
    <row r="6" spans="1:14">
      <c r="A6" s="24"/>
      <c r="B6" s="25" t="s">
        <v>85</v>
      </c>
      <c r="C6" s="24"/>
      <c r="D6" s="24"/>
      <c r="E6" s="24"/>
      <c r="F6" s="24"/>
      <c r="G6" s="24"/>
      <c r="H6" s="24"/>
      <c r="I6" s="549"/>
      <c r="J6" s="549"/>
      <c r="K6" s="549"/>
      <c r="L6" s="549"/>
      <c r="M6" s="549"/>
      <c r="N6" s="42"/>
    </row>
    <row r="7" spans="1:14">
      <c r="A7" s="24"/>
      <c r="B7" s="24"/>
      <c r="C7" s="24"/>
      <c r="D7" s="24"/>
      <c r="E7" s="24"/>
      <c r="F7" s="24"/>
      <c r="G7" s="24"/>
      <c r="H7" s="24"/>
      <c r="I7" s="549"/>
      <c r="J7" s="549"/>
      <c r="K7" s="549"/>
      <c r="L7" s="549"/>
      <c r="M7" s="549"/>
      <c r="N7" s="42"/>
    </row>
    <row r="8" spans="1:14">
      <c r="A8" s="24"/>
      <c r="B8" s="47" t="s">
        <v>86</v>
      </c>
      <c r="C8" s="47" t="s">
        <v>87</v>
      </c>
      <c r="D8" s="997" t="s">
        <v>88</v>
      </c>
      <c r="E8" s="998"/>
      <c r="F8" s="998"/>
      <c r="G8" s="998"/>
      <c r="H8" s="998"/>
      <c r="I8" s="549"/>
      <c r="J8" s="549"/>
      <c r="K8" s="549"/>
      <c r="L8" s="549"/>
      <c r="M8" s="549"/>
      <c r="N8" s="42"/>
    </row>
    <row r="9" spans="1:14">
      <c r="A9" s="24"/>
      <c r="B9" s="26" t="s">
        <v>89</v>
      </c>
      <c r="C9" s="46"/>
      <c r="D9" s="995"/>
      <c r="E9" s="996"/>
      <c r="F9" s="996"/>
      <c r="G9" s="996"/>
      <c r="H9" s="996"/>
      <c r="I9" s="24"/>
      <c r="J9" s="24"/>
      <c r="K9" s="24"/>
      <c r="L9" s="24"/>
      <c r="M9" s="24"/>
    </row>
    <row r="10" spans="1:14">
      <c r="A10" s="24"/>
      <c r="B10" s="26" t="s">
        <v>90</v>
      </c>
      <c r="C10" s="46"/>
      <c r="D10" s="995"/>
      <c r="E10" s="996"/>
      <c r="F10" s="996"/>
      <c r="G10" s="996"/>
      <c r="H10" s="996"/>
      <c r="I10" s="24"/>
      <c r="J10" s="24"/>
      <c r="K10" s="24"/>
      <c r="L10" s="24"/>
      <c r="M10" s="24"/>
    </row>
    <row r="11" spans="1:14">
      <c r="A11" s="24"/>
      <c r="B11" s="26" t="s">
        <v>91</v>
      </c>
      <c r="C11" s="46"/>
      <c r="D11" s="995"/>
      <c r="E11" s="996"/>
      <c r="F11" s="996"/>
      <c r="G11" s="996"/>
      <c r="H11" s="996"/>
      <c r="I11" s="24"/>
      <c r="J11" s="24"/>
      <c r="K11" s="24"/>
      <c r="L11" s="24"/>
      <c r="M11" s="24"/>
    </row>
    <row r="12" spans="1:14">
      <c r="A12" s="24"/>
      <c r="B12" s="26" t="s">
        <v>92</v>
      </c>
      <c r="C12" s="46"/>
      <c r="D12" s="995"/>
      <c r="E12" s="996"/>
      <c r="F12" s="996"/>
      <c r="G12" s="996"/>
      <c r="H12" s="996"/>
      <c r="I12" s="24"/>
      <c r="J12" s="24"/>
      <c r="K12" s="24"/>
      <c r="L12" s="24"/>
      <c r="M12" s="24"/>
    </row>
    <row r="13" spans="1:14">
      <c r="A13" s="24"/>
      <c r="B13" s="26" t="s">
        <v>93</v>
      </c>
      <c r="C13" s="46"/>
      <c r="D13" s="995"/>
      <c r="E13" s="996"/>
      <c r="F13" s="996"/>
      <c r="G13" s="996"/>
      <c r="H13" s="996"/>
      <c r="I13" s="24"/>
      <c r="J13" s="24"/>
      <c r="K13" s="24"/>
      <c r="L13" s="24"/>
      <c r="M13" s="24"/>
    </row>
    <row r="14" spans="1:14">
      <c r="A14" s="24"/>
      <c r="B14" s="26" t="s">
        <v>94</v>
      </c>
      <c r="C14" s="46"/>
      <c r="D14" s="995"/>
      <c r="E14" s="996"/>
      <c r="F14" s="996"/>
      <c r="G14" s="996"/>
      <c r="H14" s="996"/>
      <c r="I14" s="24"/>
      <c r="J14" s="24"/>
      <c r="K14" s="24"/>
      <c r="L14" s="24"/>
      <c r="M14" s="24"/>
    </row>
    <row r="15" spans="1:14">
      <c r="A15" s="24"/>
      <c r="B15" s="26" t="s">
        <v>95</v>
      </c>
      <c r="C15" s="46"/>
      <c r="D15" s="995"/>
      <c r="E15" s="996"/>
      <c r="F15" s="996"/>
      <c r="G15" s="996"/>
      <c r="H15" s="996"/>
      <c r="I15" s="24"/>
      <c r="J15" s="24"/>
      <c r="K15" s="24"/>
      <c r="L15" s="24"/>
      <c r="M15" s="24"/>
    </row>
    <row r="16" spans="1:14">
      <c r="A16" s="24"/>
      <c r="B16" s="26" t="s">
        <v>96</v>
      </c>
      <c r="C16" s="46"/>
      <c r="D16" s="995"/>
      <c r="E16" s="996"/>
      <c r="F16" s="996"/>
      <c r="G16" s="996"/>
      <c r="H16" s="996"/>
      <c r="I16" s="24"/>
      <c r="J16" s="24"/>
      <c r="K16" s="24"/>
      <c r="L16" s="24"/>
      <c r="M16" s="24"/>
    </row>
    <row r="17" spans="1:13">
      <c r="A17" s="24"/>
      <c r="B17" s="26" t="s">
        <v>97</v>
      </c>
      <c r="C17" s="46"/>
      <c r="D17" s="995"/>
      <c r="E17" s="996"/>
      <c r="F17" s="996"/>
      <c r="G17" s="996"/>
      <c r="H17" s="996"/>
      <c r="I17" s="24"/>
      <c r="J17" s="24"/>
      <c r="K17" s="24"/>
      <c r="L17" s="24"/>
      <c r="M17" s="24"/>
    </row>
    <row r="18" spans="1:13">
      <c r="A18" s="24"/>
      <c r="B18" s="26" t="s">
        <v>98</v>
      </c>
      <c r="C18" s="46"/>
      <c r="D18" s="995"/>
      <c r="E18" s="996"/>
      <c r="F18" s="996"/>
      <c r="G18" s="996"/>
      <c r="H18" s="996"/>
      <c r="I18" s="24"/>
      <c r="J18" s="24"/>
      <c r="K18" s="24"/>
      <c r="L18" s="24"/>
      <c r="M18" s="24"/>
    </row>
    <row r="19" spans="1:13">
      <c r="A19" s="24"/>
      <c r="B19" s="24"/>
      <c r="C19" s="24"/>
      <c r="D19" s="24"/>
      <c r="E19" s="24"/>
      <c r="F19" s="24"/>
      <c r="G19" s="24"/>
      <c r="H19" s="24"/>
      <c r="I19" s="24"/>
      <c r="J19" s="24"/>
      <c r="K19" s="24"/>
      <c r="L19" s="24"/>
      <c r="M19" s="24"/>
    </row>
    <row r="20" spans="1:13">
      <c r="A20" s="24"/>
      <c r="B20" s="213"/>
      <c r="C20" s="24"/>
      <c r="D20" s="24"/>
      <c r="E20" s="24"/>
      <c r="F20" s="24"/>
      <c r="G20" s="24"/>
      <c r="H20" s="24"/>
      <c r="I20" s="24"/>
      <c r="J20" s="24"/>
      <c r="K20" s="24"/>
      <c r="L20" s="24"/>
    </row>
    <row r="21" spans="1:13">
      <c r="A21" s="24"/>
      <c r="B21" s="286" t="s">
        <v>261</v>
      </c>
      <c r="C21" s="24"/>
      <c r="D21" s="24"/>
      <c r="E21" s="24"/>
      <c r="F21" s="24"/>
      <c r="G21" s="24"/>
      <c r="H21" s="24"/>
      <c r="I21" s="24"/>
      <c r="J21" s="24"/>
      <c r="K21" s="24"/>
      <c r="L21" s="24"/>
    </row>
    <row r="22" spans="1:13">
      <c r="A22" s="24"/>
      <c r="B22" s="286" t="s">
        <v>119</v>
      </c>
      <c r="C22" s="24"/>
      <c r="D22" s="24"/>
      <c r="E22" s="24"/>
      <c r="F22" s="24"/>
      <c r="G22" s="24"/>
      <c r="H22" s="24"/>
      <c r="I22" s="24"/>
      <c r="J22" s="24"/>
      <c r="K22" s="24"/>
      <c r="L22" s="24"/>
    </row>
    <row r="23" spans="1:13">
      <c r="A23" s="24"/>
      <c r="B23" s="286" t="s">
        <v>262</v>
      </c>
      <c r="C23" s="24"/>
      <c r="D23" s="24"/>
      <c r="E23" s="24"/>
      <c r="F23" s="24"/>
      <c r="G23" s="24"/>
      <c r="H23" s="24"/>
      <c r="I23" s="24"/>
      <c r="J23" s="24"/>
      <c r="K23" s="24"/>
      <c r="L23" s="24"/>
    </row>
    <row r="24" spans="1:13">
      <c r="B24" s="286" t="s">
        <v>99</v>
      </c>
    </row>
    <row r="25" spans="1:13">
      <c r="B25" s="286" t="s">
        <v>260</v>
      </c>
    </row>
    <row r="26" spans="1:13">
      <c r="B26" s="286" t="s">
        <v>100</v>
      </c>
    </row>
    <row r="27" spans="1:13">
      <c r="B27" s="286" t="s">
        <v>263</v>
      </c>
    </row>
    <row r="28" spans="1:13">
      <c r="B28" s="286" t="s">
        <v>279</v>
      </c>
    </row>
    <row r="29" spans="1:13">
      <c r="B29" s="286" t="s">
        <v>236</v>
      </c>
    </row>
    <row r="30" spans="1:13">
      <c r="B30" s="286" t="s">
        <v>282</v>
      </c>
    </row>
    <row r="31" spans="1:13">
      <c r="B31" s="286" t="s">
        <v>101</v>
      </c>
    </row>
    <row r="32" spans="1:13">
      <c r="B32" s="286" t="s">
        <v>259</v>
      </c>
    </row>
    <row r="33" spans="2:2">
      <c r="B33" s="286" t="s">
        <v>264</v>
      </c>
    </row>
    <row r="34" spans="2:2">
      <c r="B34" s="286" t="s">
        <v>257</v>
      </c>
    </row>
    <row r="35" spans="2:2">
      <c r="B35" s="286" t="s">
        <v>265</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headerFooter>
    <oddFooter>&amp;C&amp;1#&amp;"Calibri"&amp;12&amp;K008000Internal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15" activePane="bottomLeft" state="frozen"/>
      <selection activeCell="B75" sqref="A1:XFD1048576"/>
      <selection pane="bottomLeft" activeCell="C40" sqref="C40"/>
    </sheetView>
  </sheetViews>
  <sheetFormatPr defaultRowHeight="12.75"/>
  <cols>
    <col min="1" max="1" width="19.125" bestFit="1" customWidth="1"/>
    <col min="2" max="2" width="12.125" bestFit="1" customWidth="1"/>
    <col min="3" max="3" width="104.125" customWidth="1"/>
    <col min="4" max="4" width="35.5" customWidth="1"/>
  </cols>
  <sheetData>
    <row r="1" spans="1:4" s="31" customFormat="1" ht="20.25">
      <c r="A1" s="29" t="s">
        <v>121</v>
      </c>
      <c r="B1" s="29"/>
      <c r="C1" s="29"/>
      <c r="D1" s="29"/>
    </row>
    <row r="2" spans="1:4" s="31" customFormat="1" ht="20.25">
      <c r="A2" s="29" t="str">
        <f>'RFPR cover'!C5</f>
        <v>SPD</v>
      </c>
      <c r="B2" s="29"/>
      <c r="C2" s="29"/>
      <c r="D2" s="29"/>
    </row>
    <row r="3" spans="1:4" s="31" customFormat="1" ht="20.25">
      <c r="A3" s="29">
        <f>'RFPR cover'!C7</f>
        <v>2021</v>
      </c>
      <c r="B3" s="29"/>
      <c r="C3" s="29"/>
      <c r="D3" s="29"/>
    </row>
    <row r="4" spans="1:4" s="31" customFormat="1" ht="20.25">
      <c r="A4" s="844"/>
      <c r="B4" s="844"/>
      <c r="C4" s="844"/>
      <c r="D4" s="844"/>
    </row>
    <row r="5" spans="1:4" ht="30">
      <c r="A5" s="841" t="s">
        <v>436</v>
      </c>
      <c r="B5" s="842" t="s">
        <v>437</v>
      </c>
      <c r="C5" s="843" t="s">
        <v>438</v>
      </c>
    </row>
    <row r="6" spans="1:4">
      <c r="A6" s="335">
        <v>1.1000000000000001</v>
      </c>
      <c r="B6" s="851" t="s">
        <v>519</v>
      </c>
      <c r="C6" s="858" t="s">
        <v>520</v>
      </c>
    </row>
    <row r="7" spans="1:4">
      <c r="A7" s="335">
        <v>1.1000000000000001</v>
      </c>
      <c r="B7" s="851" t="s">
        <v>519</v>
      </c>
      <c r="C7" s="858" t="s">
        <v>521</v>
      </c>
    </row>
    <row r="8" spans="1:4">
      <c r="A8" s="335">
        <v>1.1000000000000001</v>
      </c>
      <c r="B8" s="849" t="s">
        <v>522</v>
      </c>
      <c r="C8" s="857" t="s">
        <v>523</v>
      </c>
    </row>
    <row r="9" spans="1:4" ht="25.5">
      <c r="A9" s="335">
        <v>1.1000000000000001</v>
      </c>
      <c r="B9" s="849" t="s">
        <v>525</v>
      </c>
      <c r="C9" s="857" t="s">
        <v>526</v>
      </c>
    </row>
    <row r="10" spans="1:4">
      <c r="A10" s="335">
        <v>1.1000000000000001</v>
      </c>
      <c r="B10" s="849" t="s">
        <v>525</v>
      </c>
      <c r="C10" s="857" t="s">
        <v>528</v>
      </c>
    </row>
    <row r="11" spans="1:4">
      <c r="A11" s="335">
        <v>1.1000000000000001</v>
      </c>
      <c r="B11" s="849" t="s">
        <v>530</v>
      </c>
      <c r="C11" s="857" t="s">
        <v>529</v>
      </c>
    </row>
    <row r="12" spans="1:4" ht="25.5">
      <c r="A12" s="335">
        <v>1.1000000000000001</v>
      </c>
      <c r="B12" s="849" t="s">
        <v>525</v>
      </c>
      <c r="C12" s="857" t="s">
        <v>531</v>
      </c>
    </row>
    <row r="13" spans="1:4" ht="51">
      <c r="A13" s="335">
        <v>1.1000000000000001</v>
      </c>
      <c r="B13" s="849" t="s">
        <v>525</v>
      </c>
      <c r="C13" s="857" t="s">
        <v>532</v>
      </c>
    </row>
    <row r="14" spans="1:4">
      <c r="A14" s="336">
        <v>1.1000000000000001</v>
      </c>
      <c r="B14" s="849" t="s">
        <v>533</v>
      </c>
      <c r="C14" s="857" t="s">
        <v>534</v>
      </c>
    </row>
    <row r="15" spans="1:4">
      <c r="A15" s="336">
        <v>1.1000000000000001</v>
      </c>
      <c r="B15" s="849" t="s">
        <v>522</v>
      </c>
      <c r="C15" s="857" t="s">
        <v>535</v>
      </c>
    </row>
    <row r="16" spans="1:4" ht="38.25">
      <c r="A16" s="336">
        <v>1.1000000000000001</v>
      </c>
      <c r="B16" s="849" t="s">
        <v>536</v>
      </c>
      <c r="C16" s="857" t="s">
        <v>537</v>
      </c>
    </row>
    <row r="17" spans="1:3">
      <c r="A17" s="336">
        <v>1.1000000000000001</v>
      </c>
      <c r="B17" s="849" t="s">
        <v>530</v>
      </c>
      <c r="C17" s="287" t="s">
        <v>538</v>
      </c>
    </row>
    <row r="18" spans="1:3" ht="25.5">
      <c r="A18" s="336">
        <v>1.1000000000000001</v>
      </c>
      <c r="B18" s="849" t="s">
        <v>530</v>
      </c>
      <c r="C18" s="287" t="s">
        <v>539</v>
      </c>
    </row>
    <row r="19" spans="1:3">
      <c r="A19" s="336">
        <v>1.1000000000000001</v>
      </c>
      <c r="B19" s="849" t="s">
        <v>540</v>
      </c>
      <c r="C19" s="287" t="s">
        <v>541</v>
      </c>
    </row>
    <row r="20" spans="1:3" ht="25.5">
      <c r="A20" s="336">
        <v>1.1000000000000001</v>
      </c>
      <c r="B20" s="849" t="s">
        <v>540</v>
      </c>
      <c r="C20" s="287" t="s">
        <v>552</v>
      </c>
    </row>
    <row r="21" spans="1:3">
      <c r="A21" s="336">
        <v>1.1000000000000001</v>
      </c>
      <c r="B21" s="849" t="s">
        <v>553</v>
      </c>
      <c r="C21" s="287" t="s">
        <v>554</v>
      </c>
    </row>
    <row r="22" spans="1:3">
      <c r="A22" s="336">
        <v>1.1000000000000001</v>
      </c>
      <c r="B22" s="336" t="s">
        <v>533</v>
      </c>
      <c r="C22" s="287" t="s">
        <v>555</v>
      </c>
    </row>
    <row r="23" spans="1:3" ht="25.5">
      <c r="A23" s="336">
        <v>1.1000000000000001</v>
      </c>
      <c r="B23" s="849" t="s">
        <v>533</v>
      </c>
      <c r="C23" s="287" t="s">
        <v>556</v>
      </c>
    </row>
    <row r="24" spans="1:3" ht="25.5">
      <c r="A24" s="336">
        <v>1.1000000000000001</v>
      </c>
      <c r="B24" s="849" t="s">
        <v>536</v>
      </c>
      <c r="C24" s="287" t="s">
        <v>557</v>
      </c>
    </row>
    <row r="25" spans="1:3" ht="26.25" thickBot="1">
      <c r="A25" s="945">
        <v>1.1000000000000001</v>
      </c>
      <c r="B25" s="946" t="s">
        <v>540</v>
      </c>
      <c r="C25" s="947" t="s">
        <v>559</v>
      </c>
    </row>
    <row r="26" spans="1:3">
      <c r="A26" s="942">
        <v>1.1000000000000001</v>
      </c>
      <c r="B26" s="943" t="s">
        <v>533</v>
      </c>
      <c r="C26" s="944" t="s">
        <v>560</v>
      </c>
    </row>
    <row r="27" spans="1:3">
      <c r="A27" s="942">
        <v>1.1000000000000001</v>
      </c>
      <c r="B27" s="849" t="s">
        <v>540</v>
      </c>
      <c r="C27" s="287" t="s">
        <v>561</v>
      </c>
    </row>
    <row r="28" spans="1:3" ht="25.5">
      <c r="A28" s="336">
        <v>1.1000000000000001</v>
      </c>
      <c r="B28" s="849" t="s">
        <v>540</v>
      </c>
      <c r="C28" s="287" t="s">
        <v>562</v>
      </c>
    </row>
    <row r="29" spans="1:3">
      <c r="A29" s="948">
        <v>2</v>
      </c>
      <c r="B29" s="849" t="s">
        <v>540</v>
      </c>
      <c r="C29" s="287" t="s">
        <v>565</v>
      </c>
    </row>
    <row r="30" spans="1:3">
      <c r="A30" s="948">
        <v>2</v>
      </c>
      <c r="B30" s="849" t="s">
        <v>540</v>
      </c>
      <c r="C30" s="287" t="s">
        <v>566</v>
      </c>
    </row>
    <row r="31" spans="1:3">
      <c r="A31" s="948">
        <v>2</v>
      </c>
      <c r="B31" s="849" t="s">
        <v>540</v>
      </c>
      <c r="C31" s="287" t="s">
        <v>569</v>
      </c>
    </row>
    <row r="32" spans="1:3" ht="25.5">
      <c r="A32" s="948">
        <v>2</v>
      </c>
      <c r="B32" s="849" t="s">
        <v>263</v>
      </c>
      <c r="C32" s="871" t="s">
        <v>571</v>
      </c>
    </row>
    <row r="33" spans="1:3" ht="27.75" customHeight="1">
      <c r="A33" s="948">
        <v>2</v>
      </c>
      <c r="B33" s="849" t="s">
        <v>567</v>
      </c>
      <c r="C33" s="287" t="s">
        <v>568</v>
      </c>
    </row>
    <row r="34" spans="1:3">
      <c r="A34" s="336">
        <v>2.1</v>
      </c>
      <c r="B34" s="849" t="s">
        <v>259</v>
      </c>
      <c r="C34" s="287" t="s">
        <v>570</v>
      </c>
    </row>
    <row r="35" spans="1:3" ht="25.5">
      <c r="A35" s="336">
        <v>2.1</v>
      </c>
      <c r="B35" s="849" t="s">
        <v>263</v>
      </c>
      <c r="C35" s="287" t="s">
        <v>572</v>
      </c>
    </row>
    <row r="36" spans="1:3">
      <c r="A36" s="337"/>
      <c r="B36" s="874"/>
      <c r="C36" s="287"/>
    </row>
    <row r="37" spans="1:3">
      <c r="A37" s="337"/>
      <c r="B37" s="874"/>
      <c r="C37" s="287"/>
    </row>
    <row r="38" spans="1:3">
      <c r="A38" s="337"/>
      <c r="B38" s="874"/>
      <c r="C38" s="287"/>
    </row>
    <row r="39" spans="1:3">
      <c r="A39" s="337"/>
      <c r="B39" s="874"/>
      <c r="C39" s="287"/>
    </row>
    <row r="40" spans="1:3">
      <c r="A40" s="336"/>
      <c r="B40" s="874"/>
      <c r="C40" s="287"/>
    </row>
    <row r="41" spans="1:3">
      <c r="A41" s="337"/>
      <c r="B41" s="874"/>
      <c r="C41" s="287"/>
    </row>
    <row r="42" spans="1:3">
      <c r="A42" s="337"/>
      <c r="B42" s="874"/>
      <c r="C42" s="287"/>
    </row>
    <row r="43" spans="1:3">
      <c r="A43" s="337"/>
      <c r="B43" s="874"/>
      <c r="C43" s="287"/>
    </row>
    <row r="44" spans="1:3">
      <c r="A44" s="337"/>
      <c r="B44" s="849"/>
      <c r="C44" s="287"/>
    </row>
    <row r="45" spans="1:3">
      <c r="A45" s="337"/>
      <c r="B45" s="849"/>
      <c r="C45" s="287"/>
    </row>
    <row r="46" spans="1:3">
      <c r="A46" s="337"/>
      <c r="B46" s="849"/>
      <c r="C46" s="287"/>
    </row>
    <row r="47" spans="1:3">
      <c r="A47" s="337"/>
      <c r="B47" s="849"/>
      <c r="C47" s="287"/>
    </row>
    <row r="48" spans="1:3">
      <c r="A48" s="337"/>
      <c r="B48" s="849"/>
      <c r="C48" s="287"/>
    </row>
    <row r="49" spans="1:3">
      <c r="A49" s="337"/>
      <c r="B49" s="849"/>
      <c r="C49" s="287"/>
    </row>
    <row r="50" spans="1:3">
      <c r="A50" s="337"/>
      <c r="B50" s="849"/>
      <c r="C50" s="287"/>
    </row>
    <row r="51" spans="1:3">
      <c r="A51" s="337"/>
      <c r="B51" s="849"/>
      <c r="C51" s="287"/>
    </row>
    <row r="52" spans="1:3">
      <c r="A52" s="337"/>
      <c r="B52" s="849"/>
      <c r="C52" s="287"/>
    </row>
    <row r="53" spans="1:3">
      <c r="A53" s="337"/>
      <c r="B53" s="849"/>
      <c r="C53" s="287"/>
    </row>
    <row r="54" spans="1:3">
      <c r="A54" s="337"/>
      <c r="B54" s="882"/>
      <c r="C54" s="883"/>
    </row>
    <row r="55" spans="1:3">
      <c r="A55" s="337"/>
      <c r="B55" s="849"/>
      <c r="C55" s="287"/>
    </row>
    <row r="56" spans="1:3">
      <c r="A56" s="337"/>
      <c r="B56" s="849"/>
      <c r="C56" s="287"/>
    </row>
    <row r="57" spans="1:3">
      <c r="A57" s="337"/>
      <c r="B57" s="849"/>
      <c r="C57" s="287"/>
    </row>
    <row r="58" spans="1:3">
      <c r="A58" s="337"/>
      <c r="B58" s="849"/>
      <c r="C58" s="287"/>
    </row>
    <row r="59" spans="1:3">
      <c r="A59" s="337"/>
      <c r="B59" s="849"/>
      <c r="C59" s="871"/>
    </row>
    <row r="60" spans="1:3">
      <c r="A60" s="338"/>
      <c r="B60" s="850"/>
      <c r="C60" s="288"/>
    </row>
    <row r="61" spans="1:3">
      <c r="A61" s="338"/>
      <c r="B61" s="850"/>
      <c r="C61" s="288"/>
    </row>
    <row r="62" spans="1:3">
      <c r="A62" s="338"/>
      <c r="B62" s="850"/>
      <c r="C62" s="288"/>
    </row>
    <row r="63" spans="1:3">
      <c r="A63" s="338"/>
      <c r="B63" s="850"/>
      <c r="C63" s="288"/>
    </row>
    <row r="64" spans="1:3">
      <c r="A64" s="338"/>
      <c r="B64" s="850"/>
      <c r="C64" s="288"/>
    </row>
    <row r="65" spans="1:3">
      <c r="A65" s="338"/>
      <c r="B65" s="850"/>
      <c r="C65" s="288"/>
    </row>
    <row r="66" spans="1:3">
      <c r="A66" s="338"/>
      <c r="B66" s="850"/>
      <c r="C66" s="288"/>
    </row>
    <row r="67" spans="1:3">
      <c r="A67" s="338"/>
      <c r="B67" s="850"/>
      <c r="C67" s="288"/>
    </row>
  </sheetData>
  <pageMargins left="0.70866141732283472" right="0.70866141732283472" top="0.74803149606299213" bottom="0.74803149606299213" header="0.31496062992125984" footer="0.31496062992125984"/>
  <pageSetup paperSize="8" scale="69" orientation="landscape" r:id="rId1"/>
  <headerFooter>
    <oddFooter>&amp;C&amp;1#&amp;"Calibri"&amp;12&amp;K008000Internal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R66"/>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63.375" style="196" customWidth="1"/>
    <col min="3" max="3" width="13.375" style="42" customWidth="1"/>
    <col min="4" max="11" width="9.125" customWidth="1"/>
    <col min="12" max="12" width="3.625" customWidth="1"/>
    <col min="13" max="14" width="13.75" customWidth="1"/>
    <col min="15" max="15" width="5.125" customWidth="1"/>
  </cols>
  <sheetData>
    <row r="1" spans="1:18" s="31" customFormat="1" ht="20.25">
      <c r="A1" s="912" t="s">
        <v>238</v>
      </c>
      <c r="B1" s="921"/>
      <c r="C1" s="922"/>
      <c r="D1" s="922"/>
      <c r="E1" s="922"/>
      <c r="F1" s="922"/>
      <c r="G1" s="256"/>
      <c r="H1" s="256"/>
      <c r="I1" s="257"/>
      <c r="J1" s="257"/>
      <c r="K1" s="258"/>
      <c r="L1" s="258"/>
      <c r="M1" s="258"/>
      <c r="N1" s="258"/>
      <c r="O1" s="367" t="s">
        <v>84</v>
      </c>
    </row>
    <row r="2" spans="1:18" s="31" customFormat="1" ht="20.25">
      <c r="A2" s="915" t="str">
        <f>'RFPR cover'!C5</f>
        <v>SPD</v>
      </c>
      <c r="B2" s="923"/>
      <c r="C2" s="907"/>
      <c r="D2" s="907"/>
      <c r="E2" s="907"/>
      <c r="F2" s="907"/>
      <c r="G2" s="29"/>
      <c r="H2" s="29"/>
      <c r="I2" s="27"/>
      <c r="J2" s="27"/>
      <c r="K2" s="27"/>
      <c r="L2" s="27"/>
      <c r="M2" s="27"/>
      <c r="N2" s="27"/>
      <c r="O2" s="123"/>
    </row>
    <row r="3" spans="1:18" s="31" customFormat="1" ht="23.25">
      <c r="A3" s="918">
        <f>'RFPR cover'!C7</f>
        <v>2021</v>
      </c>
      <c r="B3" s="924" t="str">
        <f>IF('RFPR cover'!C5=Data!B98,"Not required to be completed for System Operator",(IF('RFPR cover'!C5=Data!B96,"Not required to be completed for System Operator","")))</f>
        <v/>
      </c>
      <c r="C3" s="925"/>
      <c r="D3" s="925"/>
      <c r="E3" s="925"/>
      <c r="F3" s="925"/>
      <c r="G3" s="260"/>
      <c r="H3" s="260"/>
      <c r="I3" s="255"/>
      <c r="J3" s="255"/>
      <c r="K3" s="255"/>
      <c r="L3" s="255"/>
      <c r="M3" s="255"/>
      <c r="N3" s="255"/>
      <c r="O3" s="261"/>
    </row>
    <row r="4" spans="1:18" ht="12.75" customHeight="1"/>
    <row r="5" spans="1:18">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c r="L5" s="2"/>
      <c r="M5" s="2"/>
    </row>
    <row r="6" spans="1:18" ht="31.5" customHeight="1">
      <c r="C6" s="172"/>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L6" s="49"/>
      <c r="M6" s="101" t="str">
        <f>"Cumulative to "&amp;'RFPR cover'!$C$7</f>
        <v>Cumulative to 2021</v>
      </c>
      <c r="N6" s="194" t="s">
        <v>109</v>
      </c>
    </row>
    <row r="7" spans="1:18">
      <c r="C7" s="172"/>
      <c r="D7" s="172"/>
      <c r="E7" s="172"/>
      <c r="F7" s="172"/>
      <c r="G7" s="172"/>
      <c r="H7" s="172"/>
      <c r="I7" s="172"/>
      <c r="J7" s="172"/>
      <c r="K7" s="172"/>
      <c r="L7" s="172"/>
      <c r="M7" s="172"/>
      <c r="N7" s="172"/>
      <c r="O7" s="172"/>
    </row>
    <row r="8" spans="1:18">
      <c r="B8" s="532" t="s">
        <v>108</v>
      </c>
      <c r="C8" s="424"/>
      <c r="D8" s="424"/>
      <c r="E8" s="424"/>
      <c r="F8" s="424"/>
      <c r="G8" s="424"/>
      <c r="H8" s="424"/>
      <c r="I8" s="424"/>
      <c r="J8" s="424"/>
      <c r="K8" s="424"/>
      <c r="L8" s="533"/>
      <c r="M8" s="217"/>
      <c r="N8" s="217"/>
      <c r="O8" s="217"/>
    </row>
    <row r="9" spans="1:18">
      <c r="B9" s="197"/>
      <c r="D9" s="42"/>
      <c r="E9" s="42"/>
      <c r="F9" s="42"/>
      <c r="G9" s="42"/>
      <c r="H9" s="42"/>
      <c r="I9" s="42"/>
      <c r="J9" s="42"/>
      <c r="K9" s="42"/>
      <c r="L9" s="49"/>
    </row>
    <row r="10" spans="1:18">
      <c r="B10" s="252" t="s">
        <v>214</v>
      </c>
      <c r="C10" s="254" t="s">
        <v>7</v>
      </c>
      <c r="D10" s="508">
        <f t="shared" ref="D10:K19" si="1">D48/D$65</f>
        <v>0.06</v>
      </c>
      <c r="E10" s="510">
        <f t="shared" si="1"/>
        <v>0.06</v>
      </c>
      <c r="F10" s="510">
        <f t="shared" si="1"/>
        <v>0.06</v>
      </c>
      <c r="G10" s="510">
        <f t="shared" si="1"/>
        <v>0.06</v>
      </c>
      <c r="H10" s="510">
        <f t="shared" si="1"/>
        <v>5.9999999999999991E-2</v>
      </c>
      <c r="I10" s="510">
        <f t="shared" si="1"/>
        <v>0.06</v>
      </c>
      <c r="J10" s="510">
        <f t="shared" si="1"/>
        <v>0.06</v>
      </c>
      <c r="K10" s="509">
        <f t="shared" si="1"/>
        <v>0.06</v>
      </c>
      <c r="L10" s="173"/>
      <c r="M10" s="509">
        <f>AVERAGE(D48:INDEX(D48:K48,0,MATCH('RFPR cover'!$C$7,$D$6:$K$6,0)))/AVERAGE($D$65:INDEX($D$65:$K$65,0,MATCH('RFPR cover'!$C$7,$D$6:$K$6,0)))</f>
        <v>5.9999999999999991E-2</v>
      </c>
      <c r="N10" s="509">
        <f>AVERAGE(D48:K48)/AVERAGE($D$65:$K$65)</f>
        <v>5.9999999999999977E-2</v>
      </c>
      <c r="R10" s="954"/>
    </row>
    <row r="11" spans="1:18">
      <c r="B11" s="252" t="str">
        <f t="shared" ref="B11:B18" si="2">B49</f>
        <v>Totex outperformance</v>
      </c>
      <c r="C11" s="254" t="s">
        <v>7</v>
      </c>
      <c r="D11" s="175">
        <f t="shared" si="1"/>
        <v>0</v>
      </c>
      <c r="E11" s="176">
        <f t="shared" si="1"/>
        <v>0</v>
      </c>
      <c r="F11" s="176">
        <f t="shared" si="1"/>
        <v>0</v>
      </c>
      <c r="G11" s="176">
        <f t="shared" si="1"/>
        <v>-1.4336014122008729E-5</v>
      </c>
      <c r="H11" s="176">
        <f t="shared" si="1"/>
        <v>-8.3687828907682005E-3</v>
      </c>
      <c r="I11" s="176">
        <f t="shared" si="1"/>
        <v>-8.3189779333708042E-3</v>
      </c>
      <c r="J11" s="176">
        <f t="shared" si="1"/>
        <v>-8.3246055311414317E-3</v>
      </c>
      <c r="K11" s="177">
        <f t="shared" si="1"/>
        <v>-8.3117057497147304E-3</v>
      </c>
      <c r="L11" s="173"/>
      <c r="M11" s="177">
        <f>AVERAGE(D49:INDEX(D49:K49,0,MATCH('RFPR cover'!$C$7,$D$6:$K$6,0)))/AVERAGE($D$65:INDEX($D$65:$K$65,0,MATCH('RFPR cover'!$C$7,$D$6:$K$6,0)))</f>
        <v>-2.8643988962357642E-3</v>
      </c>
      <c r="N11" s="177">
        <f t="shared" ref="N11:N19" si="3">AVERAGE(D49:K49)/AVERAGE($D$65:$K$65)</f>
        <v>-4.2707225799502313E-3</v>
      </c>
      <c r="P11" s="173"/>
      <c r="R11" s="954"/>
    </row>
    <row r="12" spans="1:18">
      <c r="B12" s="252" t="str">
        <f t="shared" si="2"/>
        <v>IQI Reward</v>
      </c>
      <c r="C12" s="254" t="s">
        <v>7</v>
      </c>
      <c r="D12" s="175">
        <f t="shared" si="1"/>
        <v>-3.5542744707884617E-3</v>
      </c>
      <c r="E12" s="176">
        <f t="shared" si="1"/>
        <v>-3.4416825914959301E-3</v>
      </c>
      <c r="F12" s="176">
        <f t="shared" si="1"/>
        <v>-3.4431868052342699E-3</v>
      </c>
      <c r="G12" s="176">
        <f t="shared" si="1"/>
        <v>-3.2076280957875807E-3</v>
      </c>
      <c r="H12" s="176">
        <f t="shared" si="1"/>
        <v>-3.0376977579143535E-3</v>
      </c>
      <c r="I12" s="176">
        <f t="shared" si="1"/>
        <v>-2.8579131363084685E-3</v>
      </c>
      <c r="J12" s="176">
        <f t="shared" si="1"/>
        <v>-2.673200321102482E-3</v>
      </c>
      <c r="K12" s="177">
        <f t="shared" si="1"/>
        <v>-2.5598421506588575E-3</v>
      </c>
      <c r="L12" s="173"/>
      <c r="M12" s="177">
        <f>AVERAGE(D50:INDEX(D50:K50,0,MATCH('RFPR cover'!$C$7,$D$6:$K$6,0)))/AVERAGE($D$65:INDEX($D$65:$K$65,0,MATCH('RFPR cover'!$C$7,$D$6:$K$6,0)))</f>
        <v>-3.2513663023356495E-3</v>
      </c>
      <c r="N12" s="177">
        <f t="shared" si="3"/>
        <v>-3.087625044560895E-3</v>
      </c>
      <c r="R12" s="954"/>
    </row>
    <row r="13" spans="1:18">
      <c r="B13" s="252" t="str">
        <f t="shared" si="2"/>
        <v>Broad measure of customer service</v>
      </c>
      <c r="C13" s="254" t="s">
        <v>7</v>
      </c>
      <c r="D13" s="175">
        <f t="shared" si="1"/>
        <v>3.9699899454334912E-3</v>
      </c>
      <c r="E13" s="176">
        <f t="shared" si="1"/>
        <v>3.8702617049576021E-3</v>
      </c>
      <c r="F13" s="176">
        <f t="shared" si="1"/>
        <v>4.2936665789930261E-3</v>
      </c>
      <c r="G13" s="176">
        <f t="shared" si="1"/>
        <v>5.4981418720179229E-3</v>
      </c>
      <c r="H13" s="176">
        <f t="shared" si="1"/>
        <v>5.8766912233619711E-3</v>
      </c>
      <c r="I13" s="176">
        <f t="shared" si="1"/>
        <v>4.4923092994076314E-3</v>
      </c>
      <c r="J13" s="176">
        <f t="shared" si="1"/>
        <v>4.4700512375113856E-3</v>
      </c>
      <c r="K13" s="177">
        <f t="shared" si="1"/>
        <v>4.1177402112973858E-3</v>
      </c>
      <c r="L13" s="173"/>
      <c r="M13" s="177">
        <f>AVERAGE(D51:INDEX(D51:K51,0,MATCH('RFPR cover'!$C$7,$D$6:$K$6,0)))/AVERAGE($D$65:INDEX($D$65:$K$65,0,MATCH('RFPR cover'!$C$7,$D$6:$K$6,0)))</f>
        <v>4.678345593663819E-3</v>
      </c>
      <c r="N13" s="177">
        <f t="shared" si="3"/>
        <v>4.5790931720271202E-3</v>
      </c>
      <c r="R13" s="954"/>
    </row>
    <row r="14" spans="1:18">
      <c r="B14" s="252" t="str">
        <f t="shared" si="2"/>
        <v>Interruptions-related quality of service</v>
      </c>
      <c r="C14" s="254" t="s">
        <v>7</v>
      </c>
      <c r="D14" s="175">
        <f t="shared" si="1"/>
        <v>1.0003502597948417E-2</v>
      </c>
      <c r="E14" s="176">
        <f t="shared" si="1"/>
        <v>1.5440804259682278E-2</v>
      </c>
      <c r="F14" s="176">
        <f t="shared" si="1"/>
        <v>1.338337958037846E-2</v>
      </c>
      <c r="G14" s="176">
        <f t="shared" si="1"/>
        <v>6.752561052459082E-3</v>
      </c>
      <c r="H14" s="176">
        <f t="shared" si="1"/>
        <v>7.8982454587217706E-3</v>
      </c>
      <c r="I14" s="176">
        <f t="shared" si="1"/>
        <v>1.0887734263336595E-2</v>
      </c>
      <c r="J14" s="176">
        <f t="shared" si="1"/>
        <v>7.5702480635273474E-3</v>
      </c>
      <c r="K14" s="177">
        <f t="shared" si="1"/>
        <v>5.3132131758675937E-3</v>
      </c>
      <c r="L14" s="173"/>
      <c r="M14" s="177">
        <f>AVERAGE(D52:INDEX(D52:K52,0,MATCH('RFPR cover'!$C$7,$D$6:$K$6,0)))/AVERAGE($D$65:INDEX($D$65:$K$65,0,MATCH('RFPR cover'!$C$7,$D$6:$K$6,0)))</f>
        <v>1.0695490393317525E-2</v>
      </c>
      <c r="N14" s="177">
        <f t="shared" si="3"/>
        <v>9.5978515011739887E-3</v>
      </c>
      <c r="R14" s="954"/>
    </row>
    <row r="15" spans="1:18">
      <c r="B15" s="252" t="str">
        <f t="shared" si="2"/>
        <v>Incentive on connections engagement</v>
      </c>
      <c r="C15" s="254" t="s">
        <v>7</v>
      </c>
      <c r="D15" s="175">
        <f t="shared" si="1"/>
        <v>0</v>
      </c>
      <c r="E15" s="176">
        <f t="shared" si="1"/>
        <v>0</v>
      </c>
      <c r="F15" s="176">
        <f t="shared" si="1"/>
        <v>0</v>
      </c>
      <c r="G15" s="176">
        <f t="shared" si="1"/>
        <v>0</v>
      </c>
      <c r="H15" s="176">
        <f t="shared" si="1"/>
        <v>0</v>
      </c>
      <c r="I15" s="176">
        <f t="shared" si="1"/>
        <v>0</v>
      </c>
      <c r="J15" s="176">
        <f t="shared" si="1"/>
        <v>0</v>
      </c>
      <c r="K15" s="177">
        <f t="shared" si="1"/>
        <v>0</v>
      </c>
      <c r="L15" s="173"/>
      <c r="M15" s="177">
        <f>AVERAGE(D53:INDEX(D53:K53,0,MATCH('RFPR cover'!$C$7,$D$6:$K$6,0)))/AVERAGE($D$65:INDEX($D$65:$K$65,0,MATCH('RFPR cover'!$C$7,$D$6:$K$6,0)))</f>
        <v>0</v>
      </c>
      <c r="N15" s="177">
        <f t="shared" si="3"/>
        <v>0</v>
      </c>
      <c r="R15" s="954"/>
    </row>
    <row r="16" spans="1:18">
      <c r="B16" s="252" t="str">
        <f t="shared" si="2"/>
        <v>Time to Connect Incentive</v>
      </c>
      <c r="C16" s="254" t="s">
        <v>7</v>
      </c>
      <c r="D16" s="175">
        <f t="shared" si="1"/>
        <v>1.4863392042193608E-3</v>
      </c>
      <c r="E16" s="176">
        <f t="shared" si="1"/>
        <v>9.1990295441383356E-4</v>
      </c>
      <c r="F16" s="176">
        <f t="shared" si="1"/>
        <v>9.0971366985741339E-4</v>
      </c>
      <c r="G16" s="176">
        <f t="shared" si="1"/>
        <v>8.9510199414426336E-4</v>
      </c>
      <c r="H16" s="176">
        <f t="shared" si="1"/>
        <v>8.7576188055271372E-4</v>
      </c>
      <c r="I16" s="176">
        <f t="shared" si="1"/>
        <v>8.0090959983224175E-4</v>
      </c>
      <c r="J16" s="176">
        <f t="shared" si="1"/>
        <v>1.0093664084703127E-3</v>
      </c>
      <c r="K16" s="177">
        <f t="shared" si="1"/>
        <v>1.062642635173519E-3</v>
      </c>
      <c r="L16" s="173"/>
      <c r="M16" s="177">
        <f>AVERAGE(D54:INDEX(D54:K54,0,MATCH('RFPR cover'!$C$7,$D$6:$K$6,0)))/AVERAGE($D$65:INDEX($D$65:$K$65,0,MATCH('RFPR cover'!$C$7,$D$6:$K$6,0)))</f>
        <v>9.7762805579522057E-4</v>
      </c>
      <c r="N16" s="177">
        <f t="shared" si="3"/>
        <v>9.9269888315171666E-4</v>
      </c>
      <c r="R16" s="954"/>
    </row>
    <row r="17" spans="2:18">
      <c r="B17" s="252" t="str">
        <f t="shared" si="2"/>
        <v>Losses discretionary reward scheme</v>
      </c>
      <c r="C17" s="254" t="s">
        <v>7</v>
      </c>
      <c r="D17" s="175">
        <f t="shared" si="1"/>
        <v>0</v>
      </c>
      <c r="E17" s="176">
        <f t="shared" si="1"/>
        <v>5.9027106241554329E-4</v>
      </c>
      <c r="F17" s="176">
        <f t="shared" si="1"/>
        <v>0</v>
      </c>
      <c r="G17" s="176">
        <f t="shared" si="1"/>
        <v>0</v>
      </c>
      <c r="H17" s="176">
        <f t="shared" si="1"/>
        <v>0</v>
      </c>
      <c r="I17" s="176">
        <f t="shared" si="1"/>
        <v>0</v>
      </c>
      <c r="J17" s="176">
        <f t="shared" si="1"/>
        <v>0</v>
      </c>
      <c r="K17" s="177">
        <f t="shared" si="1"/>
        <v>0</v>
      </c>
      <c r="L17" s="173"/>
      <c r="M17" s="177">
        <f>AVERAGE(D55:INDEX(D55:K55,0,MATCH('RFPR cover'!$C$7,$D$6:$K$6,0)))/AVERAGE($D$65:INDEX($D$65:$K$65,0,MATCH('RFPR cover'!$C$7,$D$6:$K$6,0)))</f>
        <v>9.6199452786553441E-5</v>
      </c>
      <c r="N17" s="177">
        <f t="shared" si="3"/>
        <v>7.1393069608925841E-5</v>
      </c>
      <c r="R17" s="954"/>
    </row>
    <row r="18" spans="2:18">
      <c r="B18" s="252" t="str">
        <f t="shared" si="2"/>
        <v xml:space="preserve">Network Innovation </v>
      </c>
      <c r="C18" s="254" t="s">
        <v>7</v>
      </c>
      <c r="D18" s="175">
        <f t="shared" si="1"/>
        <v>-3.0468017261447251E-4</v>
      </c>
      <c r="E18" s="176">
        <f t="shared" si="1"/>
        <v>-3.8294845789713051E-4</v>
      </c>
      <c r="F18" s="176">
        <f t="shared" si="1"/>
        <v>-2.5365752106138486E-4</v>
      </c>
      <c r="G18" s="176">
        <f t="shared" si="1"/>
        <v>1.0653104135065245E-3</v>
      </c>
      <c r="H18" s="176">
        <f t="shared" si="1"/>
        <v>-3.0218297880130521E-4</v>
      </c>
      <c r="I18" s="176">
        <f t="shared" si="1"/>
        <v>-3.2783285323962865E-4</v>
      </c>
      <c r="J18" s="176">
        <f t="shared" si="1"/>
        <v>-2.5993080936806759E-4</v>
      </c>
      <c r="K18" s="177">
        <f t="shared" si="1"/>
        <v>-8.7440011283472063E-4</v>
      </c>
      <c r="L18" s="173"/>
      <c r="M18" s="177">
        <f>AVERAGE(D56:INDEX(D56:K56,0,MATCH('RFPR cover'!$C$7,$D$6:$K$6,0)))/AVERAGE($D$65:INDEX($D$65:$K$65,0,MATCH('RFPR cover'!$C$7,$D$6:$K$6,0)))</f>
        <v>-8.3132916153884638E-5</v>
      </c>
      <c r="N18" s="177">
        <f t="shared" si="3"/>
        <v>-2.0815090380455853E-4</v>
      </c>
      <c r="R18" s="954"/>
    </row>
    <row r="19" spans="2:18">
      <c r="B19" s="252" t="str">
        <f>B57</f>
        <v>Penalties and fines</v>
      </c>
      <c r="C19" s="254" t="s">
        <v>7</v>
      </c>
      <c r="D19" s="185">
        <f t="shared" si="1"/>
        <v>-3.1183074869856716E-6</v>
      </c>
      <c r="E19" s="186">
        <f t="shared" si="1"/>
        <v>-1.1402842928686236E-5</v>
      </c>
      <c r="F19" s="186">
        <f t="shared" si="1"/>
        <v>-7.7053398306839058E-6</v>
      </c>
      <c r="G19" s="186">
        <f t="shared" si="1"/>
        <v>-6.1669452999159677E-5</v>
      </c>
      <c r="H19" s="186">
        <f t="shared" si="1"/>
        <v>-1.3178287592157927E-4</v>
      </c>
      <c r="I19" s="186">
        <f t="shared" si="1"/>
        <v>-6.3472404197016601E-5</v>
      </c>
      <c r="J19" s="186">
        <f t="shared" si="1"/>
        <v>0</v>
      </c>
      <c r="K19" s="187">
        <f t="shared" si="1"/>
        <v>0</v>
      </c>
      <c r="L19" s="173"/>
      <c r="M19" s="187">
        <f>AVERAGE(D57:INDEX(D57:K57,0,MATCH('RFPR cover'!$C$7,$D$6:$K$6,0)))/AVERAGE($D$65:INDEX($D$65:$K$65,0,MATCH('RFPR cover'!$C$7,$D$6:$K$6,0)))</f>
        <v>-4.7386037586531323E-5</v>
      </c>
      <c r="N19" s="187">
        <f t="shared" si="3"/>
        <v>-3.5166880703704797E-5</v>
      </c>
      <c r="R19" s="954"/>
    </row>
    <row r="20" spans="2:18">
      <c r="B20" s="253" t="str">
        <f>B58</f>
        <v>RoRE - Operational performance</v>
      </c>
      <c r="C20" s="254" t="s">
        <v>7</v>
      </c>
      <c r="D20" s="188">
        <f t="shared" ref="D20:K20" si="4">SUM(D10:D19)</f>
        <v>7.1597758796711347E-2</v>
      </c>
      <c r="E20" s="189">
        <f t="shared" si="4"/>
        <v>7.6985206089147509E-2</v>
      </c>
      <c r="F20" s="189">
        <f t="shared" si="4"/>
        <v>7.4882210163102564E-2</v>
      </c>
      <c r="G20" s="189">
        <f t="shared" si="4"/>
        <v>7.0927481769219022E-2</v>
      </c>
      <c r="H20" s="189">
        <f t="shared" si="4"/>
        <v>6.2810252059231006E-2</v>
      </c>
      <c r="I20" s="189">
        <f t="shared" si="4"/>
        <v>6.4612756835460541E-2</v>
      </c>
      <c r="J20" s="189">
        <f t="shared" si="4"/>
        <v>6.1791929047897057E-2</v>
      </c>
      <c r="K20" s="190">
        <f t="shared" si="4"/>
        <v>5.8747648009130189E-2</v>
      </c>
      <c r="L20" s="174"/>
      <c r="M20" s="190">
        <f>SUM(M10:M19)</f>
        <v>7.0201379343251283E-2</v>
      </c>
      <c r="N20" s="190">
        <f>SUM(N10:N19)</f>
        <v>6.7639371216942343E-2</v>
      </c>
      <c r="R20" s="954"/>
    </row>
    <row r="21" spans="2:18">
      <c r="B21" s="252" t="str">
        <f>B59</f>
        <v>Debt performance - at notional gearing</v>
      </c>
      <c r="C21" s="254" t="s">
        <v>7</v>
      </c>
      <c r="D21" s="175">
        <f>(D59)/D$65</f>
        <v>-4.4386511392809011E-3</v>
      </c>
      <c r="E21" s="176">
        <f t="shared" ref="E21:K21" si="5">(E59)/E$65</f>
        <v>1.0987263722097674E-2</v>
      </c>
      <c r="F21" s="176">
        <f t="shared" si="5"/>
        <v>3.8284041998418818E-2</v>
      </c>
      <c r="G21" s="176">
        <f t="shared" si="5"/>
        <v>2.7318504610771375E-2</v>
      </c>
      <c r="H21" s="176">
        <f t="shared" si="5"/>
        <v>1.7044483769050572E-2</v>
      </c>
      <c r="I21" s="176">
        <f t="shared" si="5"/>
        <v>-3.1073668866816507E-4</v>
      </c>
      <c r="J21" s="176">
        <f t="shared" si="5"/>
        <v>2.0416028873624745E-2</v>
      </c>
      <c r="K21" s="177">
        <f t="shared" si="5"/>
        <v>2.5980877318387961E-2</v>
      </c>
      <c r="L21" s="173"/>
      <c r="M21" s="177">
        <f>AVERAGE(D59:INDEX(D59:K59,0,MATCH('RFPR cover'!$C$7,$D$6:$K$6,0)))/AVERAGE($D$65:INDEX($D$65:$K$65,0,MATCH('RFPR cover'!$C$7,$D$6:$K$6,0)))</f>
        <v>1.481158876604495E-2</v>
      </c>
      <c r="N21" s="177">
        <f>AVERAGE(D59:K59)/AVERAGE($D$65:$K$65)</f>
        <v>1.6976101698882428E-2</v>
      </c>
      <c r="R21" s="954"/>
    </row>
    <row r="22" spans="2:18">
      <c r="B22" s="252" t="str">
        <f>B61</f>
        <v>Tax performance - at notional gearing</v>
      </c>
      <c r="C22" s="254" t="s">
        <v>7</v>
      </c>
      <c r="D22" s="175">
        <f>(D61)/D$65</f>
        <v>-3.8167426661360779E-3</v>
      </c>
      <c r="E22" s="176">
        <f t="shared" ref="E22:K22" si="6">(E61)/E$65</f>
        <v>-3.2060400032899133E-3</v>
      </c>
      <c r="F22" s="176">
        <f t="shared" si="6"/>
        <v>1.4406444399237596E-3</v>
      </c>
      <c r="G22" s="176">
        <f t="shared" si="6"/>
        <v>2.3211695155929083E-3</v>
      </c>
      <c r="H22" s="176">
        <f t="shared" si="6"/>
        <v>4.0267203119432908E-3</v>
      </c>
      <c r="I22" s="176">
        <f t="shared" si="6"/>
        <v>-3.7910875788934252E-3</v>
      </c>
      <c r="J22" s="176">
        <f t="shared" si="6"/>
        <v>3.7371732411235646E-3</v>
      </c>
      <c r="K22" s="177">
        <f t="shared" si="6"/>
        <v>2.8512354546439923E-3</v>
      </c>
      <c r="L22" s="173"/>
      <c r="M22" s="177">
        <f>AVERAGE(D61:INDEX(D61:K61,0,MATCH('RFPR cover'!$C$7,$D$6:$K$6,0)))/AVERAGE($D$65:INDEX($D$65:$K$65,0,MATCH('RFPR cover'!$C$7,$D$6:$K$6,0)))</f>
        <v>-4.8035269577855985E-4</v>
      </c>
      <c r="N22" s="177">
        <f>AVERAGE(D61:K61)/AVERAGE($D$65:$K$65)</f>
        <v>4.9267674081740693E-4</v>
      </c>
      <c r="R22" s="954"/>
    </row>
    <row r="23" spans="2:18">
      <c r="B23" s="253" t="str">
        <f>B63</f>
        <v>RoRE - including financing and tax</v>
      </c>
      <c r="C23" s="254" t="s">
        <v>7</v>
      </c>
      <c r="D23" s="191">
        <f>SUM(D20:D22)</f>
        <v>6.3342364991294364E-2</v>
      </c>
      <c r="E23" s="192">
        <f t="shared" ref="E23:K23" si="7">SUM(E20:E22)</f>
        <v>8.4766429807955262E-2</v>
      </c>
      <c r="F23" s="192">
        <f t="shared" si="7"/>
        <v>0.11460689660144513</v>
      </c>
      <c r="G23" s="192">
        <f t="shared" si="7"/>
        <v>0.10056715589558331</v>
      </c>
      <c r="H23" s="192">
        <f t="shared" si="7"/>
        <v>8.3881456140224867E-2</v>
      </c>
      <c r="I23" s="192">
        <f t="shared" si="7"/>
        <v>6.0510932567898947E-2</v>
      </c>
      <c r="J23" s="192">
        <f t="shared" si="7"/>
        <v>8.5945131162645363E-2</v>
      </c>
      <c r="K23" s="193">
        <f t="shared" si="7"/>
        <v>8.7579760782162147E-2</v>
      </c>
      <c r="L23" s="174"/>
      <c r="M23" s="193">
        <f>SUM(M20:M22)</f>
        <v>8.453261541351767E-2</v>
      </c>
      <c r="N23" s="193">
        <f>SUM(N20:N22)</f>
        <v>8.5108149656642179E-2</v>
      </c>
      <c r="R23" s="954"/>
    </row>
    <row r="24" spans="2:18">
      <c r="R24" s="954"/>
    </row>
    <row r="25" spans="2:18">
      <c r="R25" s="954"/>
    </row>
    <row r="26" spans="2:18" s="31" customFormat="1">
      <c r="B26" s="470"/>
      <c r="C26" s="366"/>
      <c r="Q26"/>
      <c r="R26" s="955"/>
    </row>
    <row r="27" spans="2:18">
      <c r="B27" s="532" t="s">
        <v>215</v>
      </c>
      <c r="C27" s="424"/>
      <c r="D27" s="217"/>
      <c r="E27" s="217"/>
      <c r="F27" s="217"/>
      <c r="G27" s="217"/>
      <c r="H27" s="217"/>
      <c r="I27" s="217"/>
      <c r="J27" s="217"/>
      <c r="K27" s="217"/>
      <c r="L27" s="533"/>
      <c r="M27" s="217"/>
      <c r="N27" s="217"/>
      <c r="O27" s="217"/>
      <c r="R27" s="954"/>
    </row>
    <row r="28" spans="2:18">
      <c r="B28" s="197"/>
      <c r="L28" s="49"/>
      <c r="R28" s="954"/>
    </row>
    <row r="29" spans="2:18">
      <c r="B29" s="252" t="s">
        <v>214</v>
      </c>
      <c r="C29" s="254" t="s">
        <v>7</v>
      </c>
      <c r="D29" s="175">
        <f t="shared" ref="D29:K38" si="8">D48/D$66</f>
        <v>5.603046267457458E-2</v>
      </c>
      <c r="E29" s="176">
        <f t="shared" si="8"/>
        <v>5.4572662821601399E-2</v>
      </c>
      <c r="F29" s="176">
        <f t="shared" si="8"/>
        <v>5.4945292699322197E-2</v>
      </c>
      <c r="G29" s="176">
        <f t="shared" si="8"/>
        <v>5.4999649281822438E-2</v>
      </c>
      <c r="H29" s="176">
        <f t="shared" si="8"/>
        <v>5.5452054225083203E-2</v>
      </c>
      <c r="I29" s="176">
        <f t="shared" si="8"/>
        <v>5.7288531870396703E-2</v>
      </c>
      <c r="J29" s="176">
        <f t="shared" si="8"/>
        <v>5.9104719769669578E-2</v>
      </c>
      <c r="K29" s="177">
        <f t="shared" si="8"/>
        <v>5.988175834011402E-2</v>
      </c>
      <c r="L29" s="173"/>
      <c r="M29" s="509">
        <f>AVERAGE(D48:INDEX(D48:K48,0,MATCH('RFPR cover'!$C$7,$D$6:$K$6,0)))/AVERAGE($D$66:INDEX($D$66:$K$66,0,MATCH('RFPR cover'!$C$7,$D$6:$K$6,0)))</f>
        <v>5.5544982240338464E-2</v>
      </c>
      <c r="N29" s="509">
        <f>AVERAGE(D48:K48)/AVERAGE($D$66:$K$66)</f>
        <v>5.6511720675901926E-2</v>
      </c>
      <c r="P29" s="322"/>
      <c r="R29" s="954"/>
    </row>
    <row r="30" spans="2:18">
      <c r="B30" s="252" t="str">
        <f t="shared" ref="B30:B37" si="9">B49</f>
        <v>Totex outperformance</v>
      </c>
      <c r="C30" s="254" t="s">
        <v>7</v>
      </c>
      <c r="D30" s="175">
        <f t="shared" si="8"/>
        <v>0</v>
      </c>
      <c r="E30" s="176">
        <f t="shared" si="8"/>
        <v>0</v>
      </c>
      <c r="F30" s="176">
        <f t="shared" si="8"/>
        <v>0</v>
      </c>
      <c r="G30" s="176">
        <f t="shared" si="8"/>
        <v>-1.3141262480162231E-5</v>
      </c>
      <c r="H30" s="176">
        <f t="shared" si="8"/>
        <v>-7.7344367109471153E-3</v>
      </c>
      <c r="I30" s="176">
        <f t="shared" si="8"/>
        <v>-7.9430338744173358E-3</v>
      </c>
      <c r="J30" s="176">
        <f t="shared" si="8"/>
        <v>-8.2003912851859283E-3</v>
      </c>
      <c r="K30" s="177">
        <f t="shared" si="8"/>
        <v>-8.2953259183092282E-3</v>
      </c>
      <c r="L30" s="173"/>
      <c r="M30" s="177">
        <f>AVERAGE(D49:INDEX(D49:K49,0,MATCH('RFPR cover'!$C$7,$D$6:$K$6,0)))/AVERAGE($D$66:INDEX($D$66:$K$66,0,MATCH('RFPR cover'!$C$7,$D$6:$K$6,0)))</f>
        <v>-2.6517164303443441E-3</v>
      </c>
      <c r="N30" s="177">
        <f t="shared" ref="N30:N38" si="10">AVERAGE(D49:K49)/AVERAGE($D$66:$K$66)</f>
        <v>-4.0224313587069139E-3</v>
      </c>
      <c r="R30" s="954"/>
    </row>
    <row r="31" spans="2:18">
      <c r="B31" s="252" t="str">
        <f t="shared" si="9"/>
        <v>IQI Reward</v>
      </c>
      <c r="C31" s="254" t="s">
        <v>7</v>
      </c>
      <c r="D31" s="175">
        <f t="shared" si="8"/>
        <v>-3.3191273845117708E-3</v>
      </c>
      <c r="E31" s="176">
        <f t="shared" si="8"/>
        <v>-3.1303630600780447E-3</v>
      </c>
      <c r="F31" s="176">
        <f t="shared" si="8"/>
        <v>-3.1531151138673506E-3</v>
      </c>
      <c r="G31" s="176">
        <f t="shared" si="8"/>
        <v>-2.9403070049139482E-3</v>
      </c>
      <c r="H31" s="176">
        <f t="shared" si="8"/>
        <v>-2.8074430131880069E-3</v>
      </c>
      <c r="I31" s="176">
        <f t="shared" si="8"/>
        <v>-2.7287607965372183E-3</v>
      </c>
      <c r="J31" s="176">
        <f t="shared" si="8"/>
        <v>-2.6333125977825488E-3</v>
      </c>
      <c r="K31" s="177">
        <f t="shared" si="8"/>
        <v>-2.5547974842431908E-3</v>
      </c>
      <c r="L31" s="173"/>
      <c r="M31" s="177">
        <f>AVERAGE(D50:INDEX(D50:K50,0,MATCH('RFPR cover'!$C$7,$D$6:$K$6,0)))/AVERAGE($D$66:INDEX($D$66:$K$66,0,MATCH('RFPR cover'!$C$7,$D$6:$K$6,0)))</f>
        <v>-3.0099513920011441E-3</v>
      </c>
      <c r="N31" s="177">
        <f t="shared" si="10"/>
        <v>-2.9081167345024099E-3</v>
      </c>
      <c r="R31" s="954"/>
    </row>
    <row r="32" spans="2:18">
      <c r="B32" s="252" t="str">
        <f t="shared" si="9"/>
        <v>Broad measure of customer service</v>
      </c>
      <c r="C32" s="254" t="s">
        <v>7</v>
      </c>
      <c r="D32" s="175">
        <f t="shared" si="8"/>
        <v>3.7073395576007933E-3</v>
      </c>
      <c r="E32" s="176">
        <f t="shared" si="8"/>
        <v>3.5201747842667896E-3</v>
      </c>
      <c r="F32" s="176">
        <f t="shared" si="8"/>
        <v>3.9319461156011532E-3</v>
      </c>
      <c r="G32" s="176">
        <f t="shared" si="8"/>
        <v>5.0399312443781411E-3</v>
      </c>
      <c r="H32" s="176">
        <f t="shared" si="8"/>
        <v>5.4312433396989769E-3</v>
      </c>
      <c r="I32" s="176">
        <f t="shared" si="8"/>
        <v>4.2892967411798924E-3</v>
      </c>
      <c r="J32" s="176">
        <f t="shared" si="8"/>
        <v>4.4033520958195868E-3</v>
      </c>
      <c r="K32" s="177">
        <f t="shared" si="8"/>
        <v>4.1096254040046678E-3</v>
      </c>
      <c r="L32" s="173"/>
      <c r="M32" s="177">
        <f>AVERAGE(D51:INDEX(D51:K51,0,MATCH('RFPR cover'!$C$7,$D$6:$K$6,0)))/AVERAGE($D$66:INDEX($D$66:$K$66,0,MATCH('RFPR cover'!$C$7,$D$6:$K$6,0)))</f>
        <v>4.3309770485703766E-3</v>
      </c>
      <c r="N32" s="177">
        <f t="shared" si="10"/>
        <v>4.3128739047754413E-3</v>
      </c>
      <c r="R32" s="954"/>
    </row>
    <row r="33" spans="2:18">
      <c r="B33" s="252" t="str">
        <f t="shared" si="9"/>
        <v>Interruptions-related quality of service</v>
      </c>
      <c r="C33" s="254" t="s">
        <v>7</v>
      </c>
      <c r="D33" s="175">
        <f t="shared" si="8"/>
        <v>9.341681315489311E-3</v>
      </c>
      <c r="E33" s="176">
        <f t="shared" si="8"/>
        <v>1.4044096742633128E-2</v>
      </c>
      <c r="F33" s="176">
        <f t="shared" si="8"/>
        <v>1.2255895139167106E-2</v>
      </c>
      <c r="G33" s="176">
        <f t="shared" si="8"/>
        <v>6.1898081606557229E-3</v>
      </c>
      <c r="H33" s="176">
        <f t="shared" si="8"/>
        <v>7.299565591000947E-3</v>
      </c>
      <c r="I33" s="176">
        <f t="shared" si="8"/>
        <v>1.0395705189026145E-2</v>
      </c>
      <c r="J33" s="176">
        <f t="shared" si="8"/>
        <v>7.4572898396944613E-3</v>
      </c>
      <c r="K33" s="177">
        <f t="shared" si="8"/>
        <v>5.302742456780217E-3</v>
      </c>
      <c r="L33" s="173"/>
      <c r="M33" s="177">
        <f>AVERAGE(D52:INDEX(D52:K52,0,MATCH('RFPR cover'!$C$7,$D$6:$K$6,0)))/AVERAGE($D$66:INDEX($D$66:$K$66,0,MATCH('RFPR cover'!$C$7,$D$6:$K$6,0)))</f>
        <v>9.9013470658088788E-3</v>
      </c>
      <c r="N33" s="177">
        <f t="shared" si="10"/>
        <v>9.0398517187188446E-3</v>
      </c>
      <c r="R33" s="954"/>
    </row>
    <row r="34" spans="2:18">
      <c r="B34" s="252" t="str">
        <f t="shared" si="9"/>
        <v>Incentive on connections engagement</v>
      </c>
      <c r="C34" s="254" t="s">
        <v>7</v>
      </c>
      <c r="D34" s="175">
        <f t="shared" si="8"/>
        <v>0</v>
      </c>
      <c r="E34" s="176">
        <f t="shared" si="8"/>
        <v>0</v>
      </c>
      <c r="F34" s="176">
        <f t="shared" si="8"/>
        <v>0</v>
      </c>
      <c r="G34" s="176">
        <f t="shared" si="8"/>
        <v>0</v>
      </c>
      <c r="H34" s="176">
        <f t="shared" si="8"/>
        <v>0</v>
      </c>
      <c r="I34" s="176">
        <f t="shared" si="8"/>
        <v>0</v>
      </c>
      <c r="J34" s="176">
        <f t="shared" si="8"/>
        <v>0</v>
      </c>
      <c r="K34" s="177">
        <f t="shared" si="8"/>
        <v>0</v>
      </c>
      <c r="L34" s="173"/>
      <c r="M34" s="177">
        <f>AVERAGE(D53:INDEX(D53:K53,0,MATCH('RFPR cover'!$C$7,$D$6:$K$6,0)))/AVERAGE($D$66:INDEX($D$66:$K$66,0,MATCH('RFPR cover'!$C$7,$D$6:$K$6,0)))</f>
        <v>0</v>
      </c>
      <c r="N34" s="177">
        <f t="shared" si="10"/>
        <v>0</v>
      </c>
      <c r="R34" s="954"/>
    </row>
    <row r="35" spans="2:18">
      <c r="B35" s="252" t="str">
        <f t="shared" si="9"/>
        <v>Time to Connect Incentive</v>
      </c>
      <c r="C35" s="254" t="s">
        <v>7</v>
      </c>
      <c r="D35" s="175">
        <f t="shared" si="8"/>
        <v>1.3880045550628297E-3</v>
      </c>
      <c r="E35" s="176">
        <f t="shared" si="8"/>
        <v>8.3669256266368506E-4</v>
      </c>
      <c r="F35" s="176">
        <f t="shared" si="8"/>
        <v>8.3307473104816899E-4</v>
      </c>
      <c r="G35" s="176">
        <f t="shared" si="8"/>
        <v>8.2050492915657287E-4</v>
      </c>
      <c r="H35" s="176">
        <f t="shared" si="8"/>
        <v>8.0937992147783202E-4</v>
      </c>
      <c r="I35" s="176">
        <f t="shared" si="8"/>
        <v>7.6471558558826745E-4</v>
      </c>
      <c r="J35" s="176">
        <f t="shared" si="8"/>
        <v>9.9430531195926139E-4</v>
      </c>
      <c r="K35" s="177">
        <f t="shared" si="8"/>
        <v>1.0605484913560434E-3</v>
      </c>
      <c r="L35" s="173"/>
      <c r="M35" s="177">
        <f>AVERAGE(D54:INDEX(D54:K54,0,MATCH('RFPR cover'!$C$7,$D$6:$K$6,0)))/AVERAGE($D$66:INDEX($D$66:$K$66,0,MATCH('RFPR cover'!$C$7,$D$6:$K$6,0)))</f>
        <v>9.0503888328003607E-4</v>
      </c>
      <c r="N35" s="177">
        <f t="shared" si="10"/>
        <v>9.3498536666582741E-4</v>
      </c>
      <c r="R35" s="954"/>
    </row>
    <row r="36" spans="2:18">
      <c r="B36" s="252" t="str">
        <f t="shared" si="9"/>
        <v>Losses discretionary reward scheme</v>
      </c>
      <c r="C36" s="254" t="s">
        <v>7</v>
      </c>
      <c r="D36" s="175">
        <f t="shared" si="8"/>
        <v>0</v>
      </c>
      <c r="E36" s="176">
        <f t="shared" si="8"/>
        <v>5.3687772770919797E-4</v>
      </c>
      <c r="F36" s="176">
        <f t="shared" si="8"/>
        <v>0</v>
      </c>
      <c r="G36" s="176">
        <f t="shared" si="8"/>
        <v>0</v>
      </c>
      <c r="H36" s="176">
        <f t="shared" si="8"/>
        <v>0</v>
      </c>
      <c r="I36" s="176">
        <f t="shared" si="8"/>
        <v>0</v>
      </c>
      <c r="J36" s="176">
        <f t="shared" si="8"/>
        <v>0</v>
      </c>
      <c r="K36" s="177">
        <f t="shared" si="8"/>
        <v>0</v>
      </c>
      <c r="L36" s="173"/>
      <c r="M36" s="177">
        <f>AVERAGE(D55:INDEX(D55:K55,0,MATCH('RFPR cover'!$C$7,$D$6:$K$6,0)))/AVERAGE($D$66:INDEX($D$66:$K$66,0,MATCH('RFPR cover'!$C$7,$D$6:$K$6,0)))</f>
        <v>8.9056614942656511E-5</v>
      </c>
      <c r="N36" s="177">
        <f t="shared" si="10"/>
        <v>6.7242420132247356E-5</v>
      </c>
      <c r="R36" s="954"/>
    </row>
    <row r="37" spans="2:18">
      <c r="B37" s="252" t="str">
        <f t="shared" si="9"/>
        <v xml:space="preserve">Network Innovation </v>
      </c>
      <c r="C37" s="254" t="s">
        <v>7</v>
      </c>
      <c r="D37" s="175">
        <f t="shared" si="8"/>
        <v>-2.8452285065596906E-4</v>
      </c>
      <c r="E37" s="176">
        <f t="shared" si="8"/>
        <v>-3.4830861784787207E-4</v>
      </c>
      <c r="F37" s="176">
        <f t="shared" si="8"/>
        <v>-2.3228811233503793E-4</v>
      </c>
      <c r="G37" s="176">
        <f t="shared" si="8"/>
        <v>9.7652831865220158E-4</v>
      </c>
      <c r="H37" s="176">
        <f t="shared" si="8"/>
        <v>-2.7927778210645244E-4</v>
      </c>
      <c r="I37" s="176">
        <f t="shared" si="8"/>
        <v>-3.1301771434969248E-4</v>
      </c>
      <c r="J37" s="176">
        <f t="shared" si="8"/>
        <v>-2.5605229412005063E-4</v>
      </c>
      <c r="K37" s="177">
        <f t="shared" si="8"/>
        <v>-8.7267693748895286E-4</v>
      </c>
      <c r="L37" s="173"/>
      <c r="M37" s="177">
        <f>AVERAGE(D56:INDEX(D56:K56,0,MATCH('RFPR cover'!$C$7,$D$6:$K$6,0)))/AVERAGE($D$66:INDEX($D$66:$K$66,0,MATCH('RFPR cover'!$C$7,$D$6:$K$6,0)))</f>
        <v>-7.6960272522584504E-5</v>
      </c>
      <c r="N37" s="177">
        <f t="shared" si="10"/>
        <v>-1.9604942890399579E-4</v>
      </c>
      <c r="R37" s="954"/>
    </row>
    <row r="38" spans="2:18">
      <c r="B38" s="252" t="str">
        <f>B57</f>
        <v>Penalties and fines</v>
      </c>
      <c r="C38" s="254" t="s">
        <v>7</v>
      </c>
      <c r="D38" s="185">
        <f t="shared" si="8"/>
        <v>-2.912003520956619E-6</v>
      </c>
      <c r="E38" s="186">
        <f t="shared" si="8"/>
        <v>-1.0371391705914598E-5</v>
      </c>
      <c r="F38" s="186">
        <f t="shared" si="8"/>
        <v>-7.0562025390778824E-6</v>
      </c>
      <c r="G38" s="186">
        <f t="shared" si="8"/>
        <v>-5.6529971439260251E-5</v>
      </c>
      <c r="H38" s="186">
        <f t="shared" si="8"/>
        <v>-1.2179385302568044E-4</v>
      </c>
      <c r="I38" s="186">
        <f t="shared" si="8"/>
        <v>-6.0604014178858111E-5</v>
      </c>
      <c r="J38" s="186">
        <f t="shared" si="8"/>
        <v>0</v>
      </c>
      <c r="K38" s="187">
        <f t="shared" si="8"/>
        <v>0</v>
      </c>
      <c r="L38" s="173"/>
      <c r="M38" s="187">
        <f>AVERAGE(D57:INDEX(D57:K57,0,MATCH('RFPR cover'!$C$7,$D$6:$K$6,0)))/AVERAGE($D$66:INDEX($D$66:$K$66,0,MATCH('RFPR cover'!$C$7,$D$6:$K$6,0)))</f>
        <v>-4.3867610269731564E-5</v>
      </c>
      <c r="N38" s="187">
        <f t="shared" si="10"/>
        <v>-3.312234898950886E-5</v>
      </c>
      <c r="R38" s="954"/>
    </row>
    <row r="39" spans="2:18">
      <c r="B39" s="253" t="str">
        <f>B58</f>
        <v>RoRE - Operational performance</v>
      </c>
      <c r="C39" s="254" t="s">
        <v>7</v>
      </c>
      <c r="D39" s="188">
        <f t="shared" ref="D39:K39" si="11">SUM(D29:D38)</f>
        <v>6.6860925864038814E-2</v>
      </c>
      <c r="E39" s="189">
        <f t="shared" si="11"/>
        <v>7.0021461569242369E-2</v>
      </c>
      <c r="F39" s="189">
        <f t="shared" si="11"/>
        <v>6.8573749256397157E-2</v>
      </c>
      <c r="G39" s="189">
        <f t="shared" si="11"/>
        <v>6.5016443695831705E-2</v>
      </c>
      <c r="H39" s="189">
        <f t="shared" si="11"/>
        <v>5.8049291717993702E-2</v>
      </c>
      <c r="I39" s="189">
        <f t="shared" si="11"/>
        <v>6.1692832986707906E-2</v>
      </c>
      <c r="J39" s="189">
        <f t="shared" si="11"/>
        <v>6.0869910840054352E-2</v>
      </c>
      <c r="K39" s="190">
        <f t="shared" si="11"/>
        <v>5.8631874352213578E-2</v>
      </c>
      <c r="L39" s="174"/>
      <c r="M39" s="190">
        <f>SUM(M29:M38)</f>
        <v>6.4988906147802603E-2</v>
      </c>
      <c r="N39" s="190">
        <f>SUM(N29:N38)</f>
        <v>6.3706954215091441E-2</v>
      </c>
      <c r="R39" s="954"/>
    </row>
    <row r="40" spans="2:18">
      <c r="B40" s="252" t="s">
        <v>443</v>
      </c>
      <c r="C40" s="254" t="s">
        <v>7</v>
      </c>
      <c r="D40" s="175">
        <f>(D59+D60)/D$66</f>
        <v>-2.6878407835888313E-3</v>
      </c>
      <c r="E40" s="176">
        <f t="shared" ref="E40:K40" si="12">(E59+E60)/E$66</f>
        <v>1.1187579261251392E-2</v>
      </c>
      <c r="F40" s="176">
        <f t="shared" si="12"/>
        <v>3.4865499125280558E-2</v>
      </c>
      <c r="G40" s="176">
        <f t="shared" si="12"/>
        <v>2.5209317622441791E-2</v>
      </c>
      <c r="H40" s="176">
        <f t="shared" si="12"/>
        <v>1.6247965435627142E-2</v>
      </c>
      <c r="I40" s="176">
        <f t="shared" si="12"/>
        <v>3.6243301641453396E-4</v>
      </c>
      <c r="J40" s="176">
        <f t="shared" si="12"/>
        <v>2.0143158274551567E-2</v>
      </c>
      <c r="K40" s="177">
        <f t="shared" si="12"/>
        <v>2.5925572579396948E-2</v>
      </c>
      <c r="L40" s="173"/>
      <c r="M40" s="177">
        <f>(AVERAGE(D59:INDEX(D59:K59,0,MATCH('RFPR cover'!$C$7,$D$6:$K$6,0)))+AVERAGE(D60:INDEX(D60:K60,0,MATCH('RFPR cover'!$C$7,$D$6:$K$6,0))))/AVERAGE($D$66:INDEX($D$66:$K$66,0,MATCH('RFPR cover'!$C$7,$D$6:$K$6,0)))</f>
        <v>1.4334504999650338E-2</v>
      </c>
      <c r="N40" s="177">
        <f>(AVERAGE(D59:K59)+AVERAGE(D60:K60))/AVERAGE($D$66:$K$66)</f>
        <v>1.6462707172149642E-2</v>
      </c>
      <c r="R40" s="954"/>
    </row>
    <row r="41" spans="2:18">
      <c r="B41" s="252" t="s">
        <v>444</v>
      </c>
      <c r="C41" s="254" t="s">
        <v>7</v>
      </c>
      <c r="D41" s="175">
        <f>(D61+D62)/D$66</f>
        <v>-3.564230958223228E-3</v>
      </c>
      <c r="E41" s="176">
        <f t="shared" ref="E41:K41" si="13">(E61+E62)/E$66</f>
        <v>-2.9160356682017747E-3</v>
      </c>
      <c r="F41" s="176">
        <f t="shared" si="13"/>
        <v>1.319277173787698E-3</v>
      </c>
      <c r="G41" s="176">
        <f t="shared" si="13"/>
        <v>2.1277251546877934E-3</v>
      </c>
      <c r="H41" s="176">
        <f t="shared" si="13"/>
        <v>3.7214985514520565E-3</v>
      </c>
      <c r="I41" s="176">
        <f t="shared" si="13"/>
        <v>-3.619764026448351E-3</v>
      </c>
      <c r="J41" s="176">
        <f t="shared" si="13"/>
        <v>3.681409619121933E-3</v>
      </c>
      <c r="K41" s="177">
        <f t="shared" si="13"/>
        <v>2.8456165410959476E-3</v>
      </c>
      <c r="L41" s="173"/>
      <c r="M41" s="177">
        <f>(AVERAGE(D61:INDEX(D61:K61,0,MATCH('RFPR cover'!$C$7,$D$6:$K$6,0)))+AVERAGE(D62:INDEX(D62:K62,0,MATCH('RFPR cover'!$C$7,$D$6:$K$6,0))))/AVERAGE($D$66:INDEX($D$66:$K$66,0,MATCH('RFPR cover'!$C$7,$D$6:$K$6,0)))</f>
        <v>-4.4468636593531451E-4</v>
      </c>
      <c r="N41" s="177">
        <f>(AVERAGE(D61:K61)+AVERAGE(D62:K62))/AVERAGE($D$66:$K$66)</f>
        <v>4.6403350600978353E-4</v>
      </c>
      <c r="R41" s="954"/>
    </row>
    <row r="42" spans="2:18">
      <c r="B42" s="253" t="str">
        <f>B63</f>
        <v>RoRE - including financing and tax</v>
      </c>
      <c r="C42" s="254" t="s">
        <v>7</v>
      </c>
      <c r="D42" s="191">
        <f>SUM(D39:D41)</f>
        <v>6.060885412222676E-2</v>
      </c>
      <c r="E42" s="192">
        <f t="shared" ref="E42:K42" si="14">SUM(E39:E41)</f>
        <v>7.8293005162291998E-2</v>
      </c>
      <c r="F42" s="192">
        <f t="shared" si="14"/>
        <v>0.10475852555546541</v>
      </c>
      <c r="G42" s="192">
        <f t="shared" si="14"/>
        <v>9.235348647296128E-2</v>
      </c>
      <c r="H42" s="192">
        <f t="shared" si="14"/>
        <v>7.8018755705072898E-2</v>
      </c>
      <c r="I42" s="192">
        <f t="shared" si="14"/>
        <v>5.843550197667409E-2</v>
      </c>
      <c r="J42" s="192">
        <f t="shared" si="14"/>
        <v>8.4694478733727846E-2</v>
      </c>
      <c r="K42" s="193">
        <f t="shared" si="14"/>
        <v>8.740306347270646E-2</v>
      </c>
      <c r="L42" s="174"/>
      <c r="M42" s="193">
        <f>SUM(M39:M41)</f>
        <v>7.8878724781517626E-2</v>
      </c>
      <c r="N42" s="193">
        <f>SUM(N39:N41)</f>
        <v>8.0633694893250854E-2</v>
      </c>
      <c r="R42" s="954"/>
    </row>
    <row r="43" spans="2:18" s="31" customFormat="1">
      <c r="B43" s="471"/>
      <c r="C43" s="472"/>
      <c r="D43" s="473"/>
      <c r="E43" s="473"/>
      <c r="F43" s="473"/>
      <c r="G43" s="473"/>
      <c r="H43" s="473"/>
      <c r="I43" s="473"/>
      <c r="J43" s="473"/>
      <c r="K43" s="473"/>
      <c r="L43" s="474"/>
      <c r="M43" s="473"/>
      <c r="N43" s="473"/>
      <c r="Q43"/>
    </row>
    <row r="44" spans="2:18" s="31" customFormat="1">
      <c r="B44" s="471"/>
      <c r="C44" s="472"/>
      <c r="D44" s="473"/>
      <c r="E44" s="473"/>
      <c r="F44" s="473"/>
      <c r="G44" s="473"/>
      <c r="H44" s="473"/>
      <c r="I44" s="473"/>
      <c r="J44" s="473"/>
      <c r="K44" s="473"/>
      <c r="L44" s="474"/>
      <c r="M44" s="473"/>
      <c r="N44" s="473"/>
    </row>
    <row r="45" spans="2:18" s="31" customFormat="1">
      <c r="B45" s="526" t="s">
        <v>379</v>
      </c>
      <c r="C45" s="527"/>
      <c r="D45" s="528"/>
      <c r="E45" s="528"/>
      <c r="F45" s="528"/>
      <c r="G45" s="528"/>
      <c r="H45" s="528"/>
      <c r="I45" s="528"/>
      <c r="J45" s="528"/>
      <c r="K45" s="528"/>
      <c r="L45" s="529"/>
      <c r="M45" s="528"/>
      <c r="N45" s="528"/>
      <c r="O45" s="217"/>
    </row>
    <row r="46" spans="2:18" s="31" customFormat="1">
      <c r="B46" s="531" t="str">
        <f>"Input values provided in "&amp;'RFPR cover'!C14&amp;" prices"</f>
        <v>Input values provided in £m 12/13 prices</v>
      </c>
      <c r="C46" s="530"/>
      <c r="D46" s="530"/>
      <c r="E46" s="530"/>
      <c r="F46" s="530"/>
      <c r="G46" s="530"/>
      <c r="H46" s="530"/>
      <c r="I46" s="530"/>
      <c r="J46" s="530"/>
      <c r="K46" s="530"/>
      <c r="L46" s="530"/>
      <c r="M46" s="530"/>
      <c r="N46" s="530"/>
      <c r="O46" s="530"/>
    </row>
    <row r="48" spans="2:18">
      <c r="B48" s="247" t="s">
        <v>227</v>
      </c>
      <c r="C48" s="342" t="str">
        <f>'RFPR cover'!$C$14</f>
        <v>£m 12/13</v>
      </c>
      <c r="D48" s="178">
        <f>'R9 - RAV'!D50</f>
        <v>31.455419715518801</v>
      </c>
      <c r="E48" s="179">
        <f>'R9 - RAV'!E50</f>
        <v>31.698995921347905</v>
      </c>
      <c r="F48" s="179">
        <f>'R9 - RAV'!F50</f>
        <v>32.054041800394707</v>
      </c>
      <c r="G48" s="179">
        <f>'R9 - RAV'!G50</f>
        <v>32.577293080301516</v>
      </c>
      <c r="H48" s="179">
        <f>'R9 - RAV'!H50</f>
        <v>33.179078598663025</v>
      </c>
      <c r="I48" s="179">
        <f>'R9 - RAV'!I50</f>
        <v>33.537316769320952</v>
      </c>
      <c r="J48" s="179">
        <f>'R9 - RAV'!J50</f>
        <v>33.70431164987653</v>
      </c>
      <c r="K48" s="180">
        <f>'R9 - RAV'!K50</f>
        <v>33.877805019673019</v>
      </c>
      <c r="M48" s="95">
        <f>SUM(D48:INDEX(D48:K48,0,MATCH('RFPR cover'!$C$7,$D$6:$K$6,0)))</f>
        <v>194.50214588554689</v>
      </c>
      <c r="N48" s="95">
        <f>SUM(D48:K48)</f>
        <v>262.08426255509642</v>
      </c>
    </row>
    <row r="49" spans="2:14">
      <c r="B49" s="247" t="s">
        <v>102</v>
      </c>
      <c r="C49" s="342" t="str">
        <f>'RFPR cover'!$C$14</f>
        <v>£m 12/13</v>
      </c>
      <c r="D49" s="251">
        <f>'R4 - Totex'!D35+'R4 - Totex'!D63</f>
        <v>0</v>
      </c>
      <c r="E49" s="251">
        <f>'R4 - Totex'!E35+'R4 - Totex'!E63</f>
        <v>0</v>
      </c>
      <c r="F49" s="251">
        <f>'R4 - Totex'!F35+'R4 - Totex'!F63</f>
        <v>0</v>
      </c>
      <c r="G49" s="251">
        <f>'R4 - Totex'!G35+'R4 - Totex'!G63</f>
        <v>-7.783808894266997E-3</v>
      </c>
      <c r="H49" s="251">
        <f>'R4 - Totex'!H35+'R4 - Totex'!H63</f>
        <v>-4.6278084217990756</v>
      </c>
      <c r="I49" s="251">
        <f>'R4 - Totex'!I35+'R4 - Totex'!I63</f>
        <v>-4.6499366358074603</v>
      </c>
      <c r="J49" s="251">
        <f>'R4 - Totex'!J35+'R4 - Totex'!J63</f>
        <v>-4.6762516530646128</v>
      </c>
      <c r="K49" s="251">
        <f>'R4 - Totex'!K35+'R4 - Totex'!K63</f>
        <v>-4.6930391128288464</v>
      </c>
      <c r="M49" s="95">
        <f>SUM(D49:INDEX(D49:K49,0,MATCH('RFPR cover'!$C$7,$D$6:$K$6,0)))</f>
        <v>-9.2855288665008029</v>
      </c>
      <c r="N49" s="95">
        <f>SUM(D49:K49)</f>
        <v>-18.654819632394261</v>
      </c>
    </row>
    <row r="50" spans="2:14">
      <c r="B50" s="249" t="s">
        <v>110</v>
      </c>
      <c r="C50" s="342" t="str">
        <f>'RFPR cover'!$C$14</f>
        <v>£m 12/13</v>
      </c>
      <c r="D50" s="242">
        <f>'R4 - Totex'!D79</f>
        <v>-1.8633532543800757</v>
      </c>
      <c r="E50" s="181">
        <f>'R4 - Totex'!E79</f>
        <v>-1.8182980405067262</v>
      </c>
      <c r="F50" s="181">
        <f>'R4 - Totex'!F79</f>
        <v>-1.83946756302578</v>
      </c>
      <c r="G50" s="181">
        <f>'R4 - Totex'!G79</f>
        <v>-1.7415973428180247</v>
      </c>
      <c r="H50" s="181">
        <f>'R4 - Totex'!H79</f>
        <v>-1.6798002111470465</v>
      </c>
      <c r="I50" s="181">
        <f>'R4 - Totex'!I79</f>
        <v>-1.5974456358596774</v>
      </c>
      <c r="J50" s="181">
        <f>'R4 - Totex'!J79</f>
        <v>-1.5016396120831343</v>
      </c>
      <c r="K50" s="182">
        <f>'R4 - Totex'!K79</f>
        <v>-1.4453638876860204</v>
      </c>
      <c r="M50" s="95">
        <f>SUM(D50:INDEX(D50:K50,0,MATCH('RFPR cover'!$C$7,$D$6:$K$6,0)))</f>
        <v>-10.53996204773733</v>
      </c>
      <c r="N50" s="95">
        <f t="shared" ref="N50:N57" si="15">SUM(D50:K50)</f>
        <v>-13.486965547506486</v>
      </c>
    </row>
    <row r="51" spans="2:14">
      <c r="B51" s="250" t="str">
        <f>'R5 - Output Incentives'!B39</f>
        <v>Broad measure of customer service</v>
      </c>
      <c r="C51" s="342" t="str">
        <f>'RFPR cover'!$C$14</f>
        <v>£m 12/13</v>
      </c>
      <c r="D51" s="242">
        <f>'R5 - Output Incentives'!D39</f>
        <v>2.0812950000000008</v>
      </c>
      <c r="E51" s="181">
        <f>'R5 - Output Incentives'!E39</f>
        <v>2.0447235000000004</v>
      </c>
      <c r="F51" s="181">
        <f>'R5 - Output Incentives'!F39</f>
        <v>2.2938228000000032</v>
      </c>
      <c r="G51" s="181">
        <f>'R5 - Output Incentives'!G39</f>
        <v>2.9852429860300917</v>
      </c>
      <c r="H51" s="181">
        <f>'R5 - Output Incentives'!H39</f>
        <v>3.2497200000000004</v>
      </c>
      <c r="I51" s="181">
        <f>'R5 - Output Incentives'!I39</f>
        <v>2.5110000000000001</v>
      </c>
      <c r="J51" s="181">
        <f>'R5 - Output Incentives'!J39</f>
        <v>2.5110000000000001</v>
      </c>
      <c r="K51" s="182">
        <f>'R5 - Output Incentives'!K39</f>
        <v>2.3250000000000002</v>
      </c>
      <c r="M51" s="95">
        <f>SUM(D51:INDEX(D51:K51,0,MATCH('RFPR cover'!$C$7,$D$6:$K$6,0)))</f>
        <v>15.165804286030095</v>
      </c>
      <c r="N51" s="95">
        <f t="shared" si="15"/>
        <v>20.001804286030094</v>
      </c>
    </row>
    <row r="52" spans="2:14">
      <c r="B52" s="250" t="str">
        <f>'R5 - Output Incentives'!B40</f>
        <v>Interruptions-related quality of service</v>
      </c>
      <c r="C52" s="342" t="str">
        <f>'RFPR cover'!$C$14</f>
        <v>£m 12/13</v>
      </c>
      <c r="D52" s="242">
        <f>'R5 - Output Incentives'!D40</f>
        <v>5.2444062140625034</v>
      </c>
      <c r="E52" s="181">
        <f>'R5 - Output Incentives'!E40</f>
        <v>8.1576331874999983</v>
      </c>
      <c r="F52" s="181">
        <f>'R5 - Output Incentives'!F40</f>
        <v>7.1498568083333351</v>
      </c>
      <c r="G52" s="181">
        <f>'R5 - Output Incentives'!G40</f>
        <v>3.6663360074764797</v>
      </c>
      <c r="H52" s="181">
        <f>'R5 - Output Incentives'!H40</f>
        <v>4.3676084477743826</v>
      </c>
      <c r="I52" s="181">
        <f>'R5 - Output Incentives'!I40</f>
        <v>6.0857565481618119</v>
      </c>
      <c r="J52" s="181">
        <f>'R5 - Output Incentives'!J40</f>
        <v>4.2525000000000004</v>
      </c>
      <c r="K52" s="182">
        <f>'R5 - Output Incentives'!K40</f>
        <v>3</v>
      </c>
      <c r="M52" s="95">
        <f>SUM(D52:INDEX(D52:K52,0,MATCH('RFPR cover'!$C$7,$D$6:$K$6,0)))</f>
        <v>34.671597213308516</v>
      </c>
      <c r="N52" s="95">
        <f t="shared" si="15"/>
        <v>41.924097213308514</v>
      </c>
    </row>
    <row r="53" spans="2:14">
      <c r="B53" s="250" t="str">
        <f>'R5 - Output Incentives'!B41</f>
        <v>Incentive on connections engagement</v>
      </c>
      <c r="C53" s="342" t="str">
        <f>'RFPR cover'!$C$14</f>
        <v>£m 12/13</v>
      </c>
      <c r="D53" s="242">
        <f>'R5 - Output Incentives'!D41</f>
        <v>0</v>
      </c>
      <c r="E53" s="181">
        <f>'R5 - Output Incentives'!E41</f>
        <v>0</v>
      </c>
      <c r="F53" s="181">
        <f>'R5 - Output Incentives'!F41</f>
        <v>0</v>
      </c>
      <c r="G53" s="181">
        <f>'R5 - Output Incentives'!G41</f>
        <v>0</v>
      </c>
      <c r="H53" s="181">
        <f>'R5 - Output Incentives'!H41</f>
        <v>0</v>
      </c>
      <c r="I53" s="181">
        <f>'R5 - Output Incentives'!I41</f>
        <v>0</v>
      </c>
      <c r="J53" s="181">
        <f>'R5 - Output Incentives'!J41</f>
        <v>0</v>
      </c>
      <c r="K53" s="182">
        <f>'R5 - Output Incentives'!K41</f>
        <v>0</v>
      </c>
      <c r="M53" s="95">
        <f>SUM(D53:INDEX(D53:K53,0,MATCH('RFPR cover'!$C$7,$D$6:$K$6,0)))</f>
        <v>0</v>
      </c>
      <c r="N53" s="95">
        <f t="shared" si="15"/>
        <v>0</v>
      </c>
    </row>
    <row r="54" spans="2:14">
      <c r="B54" s="250" t="str">
        <f>'R5 - Output Incentives'!B42</f>
        <v>Time to Connect Incentive</v>
      </c>
      <c r="C54" s="342" t="str">
        <f>'RFPR cover'!$C$14</f>
        <v>£m 12/13</v>
      </c>
      <c r="D54" s="242">
        <f>'R5 - Output Incentives'!D42</f>
        <v>0.77922372513917015</v>
      </c>
      <c r="E54" s="181">
        <f>'R5 - Output Incentives'!E42</f>
        <v>0.48599999999999999</v>
      </c>
      <c r="F54" s="181">
        <f>'R5 - Output Incentives'!F42</f>
        <v>0.48599999999999999</v>
      </c>
      <c r="G54" s="181">
        <f>'R5 - Output Incentives'!G42</f>
        <v>0.48599999999999999</v>
      </c>
      <c r="H54" s="181">
        <f>'R5 - Output Incentives'!H42</f>
        <v>0.48428287114285717</v>
      </c>
      <c r="I54" s="181">
        <f>'R5 - Output Incentives'!I42</f>
        <v>0.44767264921939959</v>
      </c>
      <c r="J54" s="181">
        <f>'R5 - Output Incentives'!J42</f>
        <v>0.56699999999999995</v>
      </c>
      <c r="K54" s="182">
        <f>'R5 - Output Incentives'!K42</f>
        <v>0.60000000000000009</v>
      </c>
      <c r="M54" s="95">
        <f>SUM(D54:INDEX(D54:K54,0,MATCH('RFPR cover'!$C$7,$D$6:$K$6,0)))</f>
        <v>3.1691792455014269</v>
      </c>
      <c r="N54" s="95">
        <f t="shared" si="15"/>
        <v>4.3361792455014267</v>
      </c>
    </row>
    <row r="55" spans="2:14">
      <c r="B55" s="250" t="str">
        <f>'R5 - Output Incentives'!B43</f>
        <v>Losses discretionary reward scheme</v>
      </c>
      <c r="C55" s="342" t="str">
        <f>'RFPR cover'!$C$14</f>
        <v>£m 12/13</v>
      </c>
      <c r="D55" s="242">
        <f>'R5 - Output Incentives'!D43</f>
        <v>0</v>
      </c>
      <c r="E55" s="181">
        <f>'R5 - Output Incentives'!E43</f>
        <v>0.31185000000000002</v>
      </c>
      <c r="F55" s="181">
        <f>'R5 - Output Incentives'!F43</f>
        <v>0</v>
      </c>
      <c r="G55" s="181">
        <f>'R5 - Output Incentives'!G43</f>
        <v>0</v>
      </c>
      <c r="H55" s="181">
        <f>'R5 - Output Incentives'!H43</f>
        <v>0</v>
      </c>
      <c r="I55" s="181">
        <f>'R5 - Output Incentives'!I43</f>
        <v>0</v>
      </c>
      <c r="J55" s="181">
        <f>'R5 - Output Incentives'!J43</f>
        <v>0</v>
      </c>
      <c r="K55" s="182">
        <f>'R5 - Output Incentives'!K43</f>
        <v>0</v>
      </c>
      <c r="M55" s="95">
        <f>SUM(D55:INDEX(D55:K55,0,MATCH('RFPR cover'!$C$7,$D$6:$K$6,0)))</f>
        <v>0.31185000000000002</v>
      </c>
      <c r="N55" s="95">
        <f t="shared" si="15"/>
        <v>0.31185000000000002</v>
      </c>
    </row>
    <row r="56" spans="2:14">
      <c r="B56" s="247" t="s">
        <v>485</v>
      </c>
      <c r="C56" s="342" t="str">
        <f>'RFPR cover'!$C$14</f>
        <v>£m 12/13</v>
      </c>
      <c r="D56" s="242">
        <f>-'R6 - Innovation'!D28</f>
        <v>-0.15973071180974918</v>
      </c>
      <c r="E56" s="181">
        <f>-'R6 - Innovation'!E28</f>
        <v>-0.20231802674946017</v>
      </c>
      <c r="F56" s="181">
        <f>-'R6 - Innovation'!F28</f>
        <v>-0.13551247971810218</v>
      </c>
      <c r="G56" s="181">
        <f>-'R6 - Innovation'!G28</f>
        <v>0.57841549270498749</v>
      </c>
      <c r="H56" s="181">
        <f>-'R6 - Innovation'!H28</f>
        <v>-0.1671025467471105</v>
      </c>
      <c r="I56" s="181">
        <f>-'R6 - Innovation'!I28</f>
        <v>-0.18324390410812888</v>
      </c>
      <c r="J56" s="181">
        <f>-'R6 - Innovation'!J28</f>
        <v>-0.1460131501057666</v>
      </c>
      <c r="K56" s="182">
        <f>-'R6 - Innovation'!K28</f>
        <v>-0.49371260886324586</v>
      </c>
      <c r="M56" s="95">
        <f>SUM(D56:INDEX(D56:K56,0,MATCH('RFPR cover'!$C$7,$D$6:$K$6,0)))</f>
        <v>-0.26949217642756351</v>
      </c>
      <c r="N56" s="95">
        <f t="shared" si="15"/>
        <v>-0.90921793539657592</v>
      </c>
    </row>
    <row r="57" spans="2:14">
      <c r="B57" s="247" t="s">
        <v>35</v>
      </c>
      <c r="C57" s="342" t="str">
        <f>'RFPR cover'!$C$14</f>
        <v>£m 12/13</v>
      </c>
      <c r="D57" s="243">
        <f>-'R13 - Other Activities '!D8</f>
        <v>-1.6347945134196499E-3</v>
      </c>
      <c r="E57" s="243">
        <f>-'R13 - Other Activities '!E8</f>
        <v>-6.0243111914699303E-3</v>
      </c>
      <c r="F57" s="243">
        <f>-'R13 - Other Activities '!F8</f>
        <v>-4.1164547503164698E-3</v>
      </c>
      <c r="G57" s="243">
        <f>-'R13 - Other Activities '!G8</f>
        <v>-3.3483730740925068E-2</v>
      </c>
      <c r="H57" s="243">
        <f>-'R13 - Other Activities '!H8</f>
        <v>-7.2873906635998936E-2</v>
      </c>
      <c r="I57" s="243">
        <f>-'R13 - Other Activities '!I8</f>
        <v>-3.5478235427762038E-2</v>
      </c>
      <c r="J57" s="243">
        <f>-'R13 - Other Activities '!J8</f>
        <v>0</v>
      </c>
      <c r="K57" s="243">
        <f>-'R13 - Other Activities '!K8</f>
        <v>0</v>
      </c>
      <c r="M57" s="95">
        <f>SUM(D57:INDEX(D57:K57,0,MATCH('RFPR cover'!$C$7,$D$6:$K$6,0)))</f>
        <v>-0.1536114332598921</v>
      </c>
      <c r="N57" s="95">
        <f t="shared" si="15"/>
        <v>-0.1536114332598921</v>
      </c>
    </row>
    <row r="58" spans="2:14">
      <c r="B58" s="248" t="s">
        <v>103</v>
      </c>
      <c r="C58" s="342" t="str">
        <f>'RFPR cover'!$C$14</f>
        <v>£m 12/13</v>
      </c>
      <c r="D58" s="244">
        <f t="shared" ref="D58:K58" si="16">SUM(D48:D57)</f>
        <v>37.535625894017222</v>
      </c>
      <c r="E58" s="143">
        <f t="shared" si="16"/>
        <v>40.672562230400246</v>
      </c>
      <c r="F58" s="143">
        <f t="shared" si="16"/>
        <v>40.00462491123384</v>
      </c>
      <c r="G58" s="143">
        <f t="shared" si="16"/>
        <v>38.510422684059854</v>
      </c>
      <c r="H58" s="143">
        <f t="shared" si="16"/>
        <v>34.73310483125104</v>
      </c>
      <c r="I58" s="143">
        <f t="shared" si="16"/>
        <v>36.115641555499131</v>
      </c>
      <c r="J58" s="143">
        <f t="shared" si="16"/>
        <v>34.710907234623015</v>
      </c>
      <c r="K58" s="144">
        <f t="shared" si="16"/>
        <v>33.170689410294905</v>
      </c>
      <c r="M58" s="142">
        <f>SUM(M48:M57)</f>
        <v>227.57198210646129</v>
      </c>
      <c r="N58" s="144">
        <f>SUM(N48:N57)</f>
        <v>295.45357875137927</v>
      </c>
    </row>
    <row r="59" spans="2:14">
      <c r="B59" s="247" t="s">
        <v>424</v>
      </c>
      <c r="C59" s="342" t="str">
        <f>'RFPR cover'!$C$14</f>
        <v>£m 12/13</v>
      </c>
      <c r="D59" s="242">
        <f>'R7 - Financing'!D88+'R10 - Tax'!D88</f>
        <v>-2.3269939092807741</v>
      </c>
      <c r="E59" s="242">
        <f>'R7 - Financing'!E88+'R10 - Tax'!E88</f>
        <v>5.8047537985591324</v>
      </c>
      <c r="F59" s="242">
        <f>'R7 - Financing'!F88+'R10 - Tax'!F88</f>
        <v>20.452638041756387</v>
      </c>
      <c r="G59" s="242">
        <f>'R7 - Financing'!G88+'R10 - Tax'!G88</f>
        <v>14.832715520344458</v>
      </c>
      <c r="H59" s="242">
        <f>'R7 - Financing'!H88+'R10 - Tax'!H88</f>
        <v>9.4253377774494194</v>
      </c>
      <c r="I59" s="242">
        <f>'R7 - Financing'!I88+'R10 - Tax'!I88</f>
        <v>-0.17368791266190195</v>
      </c>
      <c r="J59" s="242">
        <f>'R7 - Financing'!J88+'R10 - Tax'!J88</f>
        <v>11.468469996825435</v>
      </c>
      <c r="K59" s="242">
        <f>'R7 - Financing'!K88+'R10 - Tax'!K88</f>
        <v>14.66958493387321</v>
      </c>
      <c r="M59" s="95">
        <f>SUM(D59:INDEX(D59:K59,0,MATCH('RFPR cover'!$C$7,$D$6:$K$6,0)))</f>
        <v>48.014763316166722</v>
      </c>
      <c r="N59" s="95">
        <f>SUM(D59:K59)</f>
        <v>74.152818246865365</v>
      </c>
    </row>
    <row r="60" spans="2:14">
      <c r="B60" s="247" t="s">
        <v>419</v>
      </c>
      <c r="C60" s="342" t="str">
        <f>'RFPR cover'!$C$14</f>
        <v>£m 12/13</v>
      </c>
      <c r="D60" s="242">
        <f>'R7 - Financing'!D90+'R10 - Tax'!D89</f>
        <v>0.81804402843959156</v>
      </c>
      <c r="E60" s="242">
        <f>'R7 - Financing'!E90+'R10 - Tax'!E89</f>
        <v>0.69364688479161174</v>
      </c>
      <c r="F60" s="242">
        <f>'R7 - Financing'!F90+'R10 - Tax'!F89</f>
        <v>-0.11276702734363653</v>
      </c>
      <c r="G60" s="242">
        <f>'R7 - Financing'!G90+'R10 - Tax'!G89</f>
        <v>9.9222033157764233E-2</v>
      </c>
      <c r="H60" s="242">
        <f>'R7 - Financing'!H90+'R10 - Tax'!H89</f>
        <v>0.29643952711758947</v>
      </c>
      <c r="I60" s="242">
        <f>'R7 - Financing'!I90+'R10 - Tax'!I89</f>
        <v>0.38586006094897862</v>
      </c>
      <c r="J60" s="242">
        <f>'R7 - Financing'!J90+'R10 - Tax'!J89</f>
        <v>1.8113253107645555E-2</v>
      </c>
      <c r="K60" s="242">
        <f>'R7 - Financing'!K90+'R10 - Tax'!K89</f>
        <v>-2.3220275362021425E-3</v>
      </c>
      <c r="M60" s="95">
        <f>SUM(D60:INDEX(D60:K60,0,MATCH('RFPR cover'!$C$7,$D$6:$K$6,0)))</f>
        <v>2.1804455071118989</v>
      </c>
      <c r="N60" s="95">
        <f>SUM(D60:K60)</f>
        <v>2.1962367326833423</v>
      </c>
    </row>
    <row r="61" spans="2:14">
      <c r="B61" s="247" t="s">
        <v>425</v>
      </c>
      <c r="C61" s="342" t="str">
        <f>'RFPR cover'!$C$14</f>
        <v>£m 12/13</v>
      </c>
      <c r="D61" s="242">
        <f>'R10 - Tax'!D81-'R10 - Tax'!D88</f>
        <v>-2.0009540418239764</v>
      </c>
      <c r="E61" s="242">
        <f>'R10 - Tax'!E81-'R10 - Tax'!E88</f>
        <v>-1.6938041497994198</v>
      </c>
      <c r="F61" s="242">
        <f>'R10 - Tax'!F81-'R10 - Tax'!F88</f>
        <v>0.76964128494704021</v>
      </c>
      <c r="G61" s="242">
        <f>'R10 - Tax'!G81-'R10 - Tax'!G88</f>
        <v>1.2602903266421945</v>
      </c>
      <c r="H61" s="242">
        <f>'R10 - Tax'!H81-'R10 - Tax'!H88</f>
        <v>2.2267144954133227</v>
      </c>
      <c r="I61" s="242">
        <f>'R10 - Tax'!I81-'R10 - Tax'!I88</f>
        <v>-2.1190484172264474</v>
      </c>
      <c r="J61" s="242">
        <f>'R10 - Tax'!J81-'R10 - Tax'!J88</f>
        <v>2.0993141934734632</v>
      </c>
      <c r="K61" s="242">
        <f>'R10 - Tax'!K81-'R10 - Tax'!K88</f>
        <v>1.6098933132934654</v>
      </c>
      <c r="M61" s="95">
        <f>SUM(D61:INDEX(D61:K61,0,MATCH('RFPR cover'!$C$7,$D$6:$K$6,0)))</f>
        <v>-1.5571605018472865</v>
      </c>
      <c r="N61" s="95">
        <f>SUM(D61:K61)</f>
        <v>2.1520470049196421</v>
      </c>
    </row>
    <row r="62" spans="2:14">
      <c r="B62" s="247" t="s">
        <v>420</v>
      </c>
      <c r="C62" s="342" t="str">
        <f>'RFPR cover'!$C$14</f>
        <v>£m 12/13</v>
      </c>
      <c r="D62" s="242">
        <f>'R10 - Tax'!D83-'R10 - Tax'!D89</f>
        <v>8.3266726846886741E-16</v>
      </c>
      <c r="E62" s="242">
        <f>'R10 - Tax'!E83-'R10 - Tax'!E89</f>
        <v>-1.7763568394002505E-15</v>
      </c>
      <c r="F62" s="242">
        <f>'R10 - Tax'!F83-'R10 - Tax'!F89</f>
        <v>-1.7763568394002505E-15</v>
      </c>
      <c r="G62" s="242">
        <f>'R10 - Tax'!G83-'R10 - Tax'!G89</f>
        <v>-4.4408920985006262E-16</v>
      </c>
      <c r="H62" s="242">
        <f>'R10 - Tax'!H83-'R10 - Tax'!H89</f>
        <v>4.4408920985006262E-16</v>
      </c>
      <c r="I62" s="242">
        <f>'R10 - Tax'!I83-'R10 - Tax'!I89</f>
        <v>-1.9428902930940239E-16</v>
      </c>
      <c r="J62" s="242">
        <f>'R10 - Tax'!J83-'R10 - Tax'!J89</f>
        <v>-8.8817841970012523E-16</v>
      </c>
      <c r="K62" s="242">
        <f>'R10 - Tax'!K83-'R10 - Tax'!K89</f>
        <v>1.7763568394002505E-15</v>
      </c>
      <c r="M62" s="95">
        <f>SUM(D62:INDEX(D62:K62,0,MATCH('RFPR cover'!$C$7,$D$6:$K$6,0)))</f>
        <v>-2.9143354396410359E-15</v>
      </c>
      <c r="N62" s="95">
        <f>SUM(D62:K62)</f>
        <v>-2.0261570199409107E-15</v>
      </c>
    </row>
    <row r="63" spans="2:14">
      <c r="B63" s="248" t="s">
        <v>104</v>
      </c>
      <c r="C63" s="342" t="str">
        <f>'RFPR cover'!$C$14</f>
        <v>£m 12/13</v>
      </c>
      <c r="D63" s="245">
        <f>SUM(D58:D62)</f>
        <v>34.02572197135207</v>
      </c>
      <c r="E63" s="146">
        <f t="shared" ref="E63:K63" si="17">SUM(E58:E62)</f>
        <v>45.477158763951572</v>
      </c>
      <c r="F63" s="146">
        <f t="shared" si="17"/>
        <v>61.114137210593633</v>
      </c>
      <c r="G63" s="146">
        <f t="shared" si="17"/>
        <v>54.702650564204269</v>
      </c>
      <c r="H63" s="146">
        <f t="shared" si="17"/>
        <v>46.681596631231379</v>
      </c>
      <c r="I63" s="146">
        <f t="shared" si="17"/>
        <v>34.20876528655976</v>
      </c>
      <c r="J63" s="146">
        <f t="shared" si="17"/>
        <v>48.296804678029552</v>
      </c>
      <c r="K63" s="147">
        <f t="shared" si="17"/>
        <v>49.447845629925382</v>
      </c>
      <c r="M63" s="145">
        <f>SUM(M58:M62)</f>
        <v>276.21003042789266</v>
      </c>
      <c r="N63" s="147">
        <f>SUM(N58:N62)</f>
        <v>373.95468073584766</v>
      </c>
    </row>
    <row r="64" spans="2:14">
      <c r="B64" s="247"/>
      <c r="D64" s="421"/>
    </row>
    <row r="65" spans="2:11">
      <c r="B65" s="247" t="s">
        <v>231</v>
      </c>
      <c r="C65" s="342" t="str">
        <f>'RFPR cover'!$C$14</f>
        <v>£m 12/13</v>
      </c>
      <c r="D65" s="241">
        <f>'R9 - RAV'!D46</f>
        <v>524.25699525864673</v>
      </c>
      <c r="E65" s="179">
        <f>'R9 - RAV'!E46</f>
        <v>528.31659868913175</v>
      </c>
      <c r="F65" s="179">
        <f>'R9 - RAV'!F46</f>
        <v>534.23403000657845</v>
      </c>
      <c r="G65" s="179">
        <f>'R9 - RAV'!G46</f>
        <v>542.95488467169196</v>
      </c>
      <c r="H65" s="179">
        <f>'R9 - RAV'!H46</f>
        <v>552.98464331105049</v>
      </c>
      <c r="I65" s="179">
        <f>'R9 - RAV'!I46</f>
        <v>558.95527948868255</v>
      </c>
      <c r="J65" s="179">
        <f>'R9 - RAV'!J46</f>
        <v>561.73852749794219</v>
      </c>
      <c r="K65" s="180">
        <f>'R9 - RAV'!K46</f>
        <v>564.63008366121699</v>
      </c>
    </row>
    <row r="66" spans="2:11">
      <c r="B66" s="247" t="s">
        <v>107</v>
      </c>
      <c r="C66" s="342" t="str">
        <f>'RFPR cover'!$C$14</f>
        <v>£m 12/13</v>
      </c>
      <c r="D66" s="246">
        <f>'R8 - Net Debt'!D62</f>
        <v>561.39853597519186</v>
      </c>
      <c r="E66" s="183">
        <f>'R8 - Net Debt'!E62</f>
        <v>580.85851564495306</v>
      </c>
      <c r="F66" s="183">
        <f>'R8 - Net Debt'!F62</f>
        <v>583.38103640296242</v>
      </c>
      <c r="G66" s="183">
        <f>'R8 - Net Debt'!G62</f>
        <v>592.31819667381797</v>
      </c>
      <c r="H66" s="183">
        <f>'R8 - Net Debt'!H62</f>
        <v>598.33813304710338</v>
      </c>
      <c r="I66" s="183">
        <f>'R8 - Net Debt'!I62</f>
        <v>585.41065156272646</v>
      </c>
      <c r="J66" s="183">
        <f>'R8 - Net Debt'!J62</f>
        <v>570.2473809405044</v>
      </c>
      <c r="K66" s="184">
        <f>'R8 - Net Debt'!K62</f>
        <v>565.74499411415434</v>
      </c>
    </row>
  </sheetData>
  <conditionalFormatting sqref="D5:K6">
    <cfRule type="expression" dxfId="61" priority="4">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64.375" style="213" customWidth="1"/>
    <col min="3" max="3" width="13.375" style="136" customWidth="1"/>
    <col min="4" max="11" width="11.125" customWidth="1"/>
    <col min="12" max="12" width="5" style="42" customWidth="1"/>
  </cols>
  <sheetData>
    <row r="1" spans="1:12" s="31" customFormat="1" ht="20.25">
      <c r="A1" s="926" t="s">
        <v>119</v>
      </c>
      <c r="B1" s="927"/>
      <c r="C1" s="275"/>
      <c r="D1" s="274"/>
      <c r="E1" s="274"/>
      <c r="F1" s="274"/>
      <c r="G1" s="274"/>
      <c r="H1" s="274"/>
      <c r="I1" s="274"/>
      <c r="J1" s="274"/>
      <c r="K1" s="274"/>
      <c r="L1" s="276"/>
    </row>
    <row r="2" spans="1:12" s="31" customFormat="1" ht="20.25">
      <c r="A2" s="915" t="str">
        <f>'RFPR cover'!C5</f>
        <v>SPD</v>
      </c>
      <c r="B2" s="928"/>
      <c r="C2" s="134"/>
      <c r="D2" s="29"/>
      <c r="E2" s="29"/>
      <c r="F2" s="29"/>
      <c r="G2" s="29"/>
      <c r="H2" s="29"/>
      <c r="I2" s="27"/>
      <c r="J2" s="27"/>
      <c r="K2" s="27"/>
      <c r="L2" s="123"/>
    </row>
    <row r="3" spans="1:12" s="31" customFormat="1" ht="20.25">
      <c r="A3" s="918">
        <f>'RFPR cover'!C7</f>
        <v>2021</v>
      </c>
      <c r="B3" s="929"/>
      <c r="C3" s="277"/>
      <c r="D3" s="260"/>
      <c r="E3" s="260"/>
      <c r="F3" s="260"/>
      <c r="G3" s="260"/>
      <c r="H3" s="260"/>
      <c r="I3" s="255"/>
      <c r="J3" s="255"/>
      <c r="K3" s="255"/>
      <c r="L3" s="261"/>
    </row>
    <row r="4" spans="1:12" s="35" customFormat="1" ht="12.75" customHeight="1">
      <c r="B4" s="225"/>
      <c r="C4" s="138"/>
      <c r="L4" s="58"/>
    </row>
    <row r="5" spans="1:12" s="2" customFormat="1">
      <c r="B5" s="129"/>
      <c r="C5" s="136"/>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c r="L5" s="54"/>
    </row>
    <row r="6" spans="1:12" s="2" customFormat="1">
      <c r="B6" s="129"/>
      <c r="C6" s="136"/>
      <c r="D6" s="90">
        <f>'RFPR cover'!$C$13</f>
        <v>2016</v>
      </c>
      <c r="E6" s="91">
        <f>D6+1</f>
        <v>2017</v>
      </c>
      <c r="F6" s="91">
        <f t="shared" ref="F6:K6" si="0">E6+1</f>
        <v>2018</v>
      </c>
      <c r="G6" s="91">
        <f t="shared" si="0"/>
        <v>2019</v>
      </c>
      <c r="H6" s="91">
        <f t="shared" si="0"/>
        <v>2020</v>
      </c>
      <c r="I6" s="91">
        <f t="shared" si="0"/>
        <v>2021</v>
      </c>
      <c r="J6" s="91">
        <f t="shared" si="0"/>
        <v>2022</v>
      </c>
      <c r="K6" s="91">
        <f t="shared" si="0"/>
        <v>2023</v>
      </c>
      <c r="L6" s="54"/>
    </row>
    <row r="7" spans="1:12" s="2" customFormat="1">
      <c r="B7" s="769"/>
      <c r="C7" s="152"/>
      <c r="D7" s="50"/>
      <c r="E7" s="50"/>
      <c r="F7" s="50"/>
      <c r="G7" s="50"/>
      <c r="H7" s="50"/>
      <c r="I7" s="50"/>
      <c r="J7" s="50"/>
      <c r="K7" s="50"/>
      <c r="L7" s="58"/>
    </row>
    <row r="8" spans="1:12" s="2" customFormat="1">
      <c r="B8" s="770" t="s">
        <v>154</v>
      </c>
      <c r="C8" s="150"/>
      <c r="D8" s="81"/>
      <c r="E8" s="81"/>
      <c r="F8" s="81"/>
      <c r="G8" s="81"/>
      <c r="H8" s="81"/>
      <c r="I8" s="81"/>
      <c r="J8" s="81"/>
      <c r="K8" s="81"/>
      <c r="L8" s="272"/>
    </row>
    <row r="9" spans="1:12" s="35" customFormat="1">
      <c r="A9" s="2"/>
      <c r="B9" s="771"/>
      <c r="C9" s="138"/>
      <c r="L9" s="58"/>
    </row>
    <row r="10" spans="1:12" s="2" customFormat="1">
      <c r="B10" s="772" t="s">
        <v>372</v>
      </c>
      <c r="C10" s="151" t="str">
        <f>'RFPR cover'!$C$14</f>
        <v>£m 12/13</v>
      </c>
      <c r="D10" s="596">
        <v>338.3</v>
      </c>
      <c r="E10" s="597">
        <v>346</v>
      </c>
      <c r="F10" s="597">
        <v>346</v>
      </c>
      <c r="G10" s="597">
        <v>346</v>
      </c>
      <c r="H10" s="597">
        <v>346</v>
      </c>
      <c r="I10" s="597">
        <v>346</v>
      </c>
      <c r="J10" s="597"/>
      <c r="K10" s="597"/>
      <c r="L10" s="58"/>
    </row>
    <row r="11" spans="1:12" s="2" customFormat="1">
      <c r="B11" s="772" t="s">
        <v>373</v>
      </c>
      <c r="C11" s="151" t="str">
        <f>'RFPR cover'!$C$14</f>
        <v>£m 12/13</v>
      </c>
      <c r="D11" s="598">
        <v>0</v>
      </c>
      <c r="E11" s="599">
        <v>0.30346047654853692</v>
      </c>
      <c r="F11" s="599">
        <v>-4.1215762182980029</v>
      </c>
      <c r="G11" s="599">
        <v>-4.0299156292492739</v>
      </c>
      <c r="H11" s="599">
        <v>-7.3551705154035858</v>
      </c>
      <c r="I11" s="599">
        <v>-2.4706617658986829</v>
      </c>
      <c r="J11" s="599"/>
      <c r="K11" s="599"/>
      <c r="L11" s="58"/>
    </row>
    <row r="12" spans="1:12" s="2" customFormat="1">
      <c r="B12" s="772" t="s">
        <v>147</v>
      </c>
      <c r="C12" s="151" t="str">
        <f>'RFPR cover'!$C$14</f>
        <v>£m 12/13</v>
      </c>
      <c r="D12" s="598">
        <v>0</v>
      </c>
      <c r="E12" s="599">
        <v>0</v>
      </c>
      <c r="F12" s="599">
        <v>-7.4417655760262678</v>
      </c>
      <c r="G12" s="599">
        <v>-1.3626247341707196</v>
      </c>
      <c r="H12" s="599">
        <v>0.83813126096639778</v>
      </c>
      <c r="I12" s="599">
        <v>-0.36084753580201478</v>
      </c>
      <c r="J12" s="599"/>
      <c r="K12" s="599"/>
      <c r="L12" s="58"/>
    </row>
    <row r="13" spans="1:12" s="2" customFormat="1">
      <c r="B13" s="772" t="s">
        <v>361</v>
      </c>
      <c r="C13" s="152" t="s">
        <v>127</v>
      </c>
      <c r="D13" s="822">
        <v>1.0820000000000001</v>
      </c>
      <c r="E13" s="823">
        <v>1.087</v>
      </c>
      <c r="F13" s="823">
        <v>1.121</v>
      </c>
      <c r="G13" s="823">
        <v>1.159</v>
      </c>
      <c r="H13" s="823">
        <v>1.198</v>
      </c>
      <c r="I13" s="823">
        <v>1.2170000000000001</v>
      </c>
      <c r="J13" s="823"/>
      <c r="K13" s="823"/>
      <c r="L13" s="58"/>
    </row>
    <row r="14" spans="1:12" s="2" customFormat="1">
      <c r="B14" s="773" t="s">
        <v>195</v>
      </c>
      <c r="C14" s="266" t="s">
        <v>128</v>
      </c>
      <c r="D14" s="631">
        <f>SUM(D10:D12)*D13</f>
        <v>366.04060000000004</v>
      </c>
      <c r="E14" s="632">
        <f t="shared" ref="E14:K14" si="1">SUM(E10:E12)*E13</f>
        <v>376.43186153800826</v>
      </c>
      <c r="F14" s="632">
        <f t="shared" si="1"/>
        <v>374.90349384856245</v>
      </c>
      <c r="G14" s="632">
        <f t="shared" si="1"/>
        <v>394.76404571879624</v>
      </c>
      <c r="H14" s="632">
        <f t="shared" si="1"/>
        <v>406.70058697318422</v>
      </c>
      <c r="I14" s="632">
        <f t="shared" si="1"/>
        <v>417.6360531798303</v>
      </c>
      <c r="J14" s="632">
        <f t="shared" si="1"/>
        <v>0</v>
      </c>
      <c r="K14" s="633">
        <f t="shared" si="1"/>
        <v>0</v>
      </c>
      <c r="L14" s="58"/>
    </row>
    <row r="15" spans="1:12" s="2" customFormat="1">
      <c r="B15" s="213" t="s">
        <v>131</v>
      </c>
      <c r="C15" s="152" t="s">
        <v>128</v>
      </c>
      <c r="D15" s="600">
        <f>'R5 - Output Incentives'!D102</f>
        <v>7.1489569499999979</v>
      </c>
      <c r="E15" s="601">
        <f>'R5 - Output Incentives'!E102</f>
        <v>11.195117099999999</v>
      </c>
      <c r="F15" s="602">
        <f>'R5 - Output Incentives'!F102</f>
        <v>11.983420297039988</v>
      </c>
      <c r="G15" s="602">
        <f>'R5 - Output Incentives'!G102</f>
        <v>15.91923194848842</v>
      </c>
      <c r="H15" s="602">
        <f>'R5 - Output Incentives'!H102</f>
        <v>15.188988091384774</v>
      </c>
      <c r="I15" s="602">
        <f>'R5 - Output Incentives'!I102</f>
        <v>10.852758437320844</v>
      </c>
      <c r="J15" s="602">
        <f>'R5 - Output Incentives'!J102</f>
        <v>12.600455186360836</v>
      </c>
      <c r="K15" s="603">
        <f>'R5 - Output Incentives'!K102</f>
        <v>14.570836836982805</v>
      </c>
      <c r="L15" s="58"/>
    </row>
    <row r="16" spans="1:12" s="2" customFormat="1">
      <c r="B16" s="774" t="s">
        <v>374</v>
      </c>
      <c r="C16" s="152" t="s">
        <v>128</v>
      </c>
      <c r="D16" s="598">
        <v>0</v>
      </c>
      <c r="E16" s="599">
        <v>0</v>
      </c>
      <c r="F16" s="599">
        <v>1.0375648208223351</v>
      </c>
      <c r="G16" s="599">
        <v>2.5806958054539297</v>
      </c>
      <c r="H16" s="599">
        <v>-9.3595589092926907</v>
      </c>
      <c r="I16" s="599">
        <v>-8.4010521455461156</v>
      </c>
      <c r="J16" s="599"/>
      <c r="K16" s="599"/>
      <c r="L16" s="58"/>
    </row>
    <row r="17" spans="2:12" s="2" customFormat="1">
      <c r="B17" s="774" t="s">
        <v>134</v>
      </c>
      <c r="C17" s="152" t="s">
        <v>128</v>
      </c>
      <c r="D17" s="600">
        <f>'R6 - Innovation'!D12</f>
        <v>1.6158688933408223</v>
      </c>
      <c r="E17" s="601">
        <f>'R6 - Innovation'!E12</f>
        <v>1.5988850487928483</v>
      </c>
      <c r="F17" s="602">
        <f>'R6 - Innovation'!F12</f>
        <v>1.4578123856916161</v>
      </c>
      <c r="G17" s="602">
        <f>'R6 - Innovation'!G12</f>
        <v>1.5862994680070253</v>
      </c>
      <c r="H17" s="602">
        <f>'R6 - Innovation'!H12</f>
        <v>1.7864643528152184</v>
      </c>
      <c r="I17" s="602">
        <f>'R6 - Innovation'!I12</f>
        <v>1.9827862925361042</v>
      </c>
      <c r="J17" s="602">
        <f>'R6 - Innovation'!J12</f>
        <v>1.6217999999999999</v>
      </c>
      <c r="K17" s="603">
        <f>'R6 - Innovation'!K12</f>
        <v>1.6524000000000001</v>
      </c>
      <c r="L17" s="58"/>
    </row>
    <row r="18" spans="2:12" s="2" customFormat="1">
      <c r="B18" s="774" t="s">
        <v>133</v>
      </c>
      <c r="C18" s="152" t="s">
        <v>128</v>
      </c>
      <c r="D18" s="600">
        <f>'R6 - Innovation'!D17</f>
        <v>1.3859999999999999</v>
      </c>
      <c r="E18" s="601">
        <f>'R6 - Innovation'!E17</f>
        <v>7.2999999999999995E-2</v>
      </c>
      <c r="F18" s="602">
        <f>'R6 - Innovation'!F17</f>
        <v>0.21199999999999999</v>
      </c>
      <c r="G18" s="602">
        <f>'R6 - Innovation'!G17</f>
        <v>0.57399999999999995</v>
      </c>
      <c r="H18" s="602">
        <f>'R6 - Innovation'!H17</f>
        <v>7.850915E-2</v>
      </c>
      <c r="I18" s="602">
        <f>'R6 - Innovation'!I17</f>
        <v>-0.21099999999999999</v>
      </c>
      <c r="J18" s="602">
        <f>'R6 - Innovation'!J17</f>
        <v>4.7E-2</v>
      </c>
      <c r="K18" s="603">
        <f>'R6 - Innovation'!K17</f>
        <v>0</v>
      </c>
      <c r="L18" s="58"/>
    </row>
    <row r="19" spans="2:12" s="2" customFormat="1">
      <c r="B19" s="544" t="s">
        <v>578</v>
      </c>
      <c r="C19" s="152" t="s">
        <v>128</v>
      </c>
      <c r="D19" s="598">
        <v>0</v>
      </c>
      <c r="E19" s="599">
        <v>0</v>
      </c>
      <c r="F19" s="599">
        <v>0</v>
      </c>
      <c r="G19" s="599">
        <v>0</v>
      </c>
      <c r="H19" s="599">
        <v>0</v>
      </c>
      <c r="I19" s="599">
        <v>0</v>
      </c>
      <c r="J19" s="599"/>
      <c r="K19" s="599"/>
      <c r="L19" s="58"/>
    </row>
    <row r="20" spans="2:12" s="2" customFormat="1">
      <c r="B20" s="544" t="s">
        <v>579</v>
      </c>
      <c r="C20" s="152" t="s">
        <v>128</v>
      </c>
      <c r="D20" s="598">
        <v>0</v>
      </c>
      <c r="E20" s="599">
        <v>0</v>
      </c>
      <c r="F20" s="599">
        <v>0</v>
      </c>
      <c r="G20" s="599">
        <v>0</v>
      </c>
      <c r="H20" s="599">
        <v>0</v>
      </c>
      <c r="I20" s="599">
        <v>0</v>
      </c>
      <c r="J20" s="599"/>
      <c r="K20" s="599"/>
      <c r="L20" s="58"/>
    </row>
    <row r="21" spans="2:12" s="2" customFormat="1">
      <c r="B21" s="544" t="s">
        <v>580</v>
      </c>
      <c r="C21" s="152" t="s">
        <v>128</v>
      </c>
      <c r="D21" s="598">
        <v>0</v>
      </c>
      <c r="E21" s="599">
        <v>0</v>
      </c>
      <c r="F21" s="599">
        <v>0</v>
      </c>
      <c r="G21" s="599">
        <v>0</v>
      </c>
      <c r="H21" s="599">
        <v>0</v>
      </c>
      <c r="I21" s="599">
        <v>0</v>
      </c>
      <c r="J21" s="599"/>
      <c r="K21" s="599"/>
      <c r="L21" s="58"/>
    </row>
    <row r="22" spans="2:12" s="2" customFormat="1">
      <c r="B22" s="544" t="s">
        <v>581</v>
      </c>
      <c r="C22" s="152" t="s">
        <v>128</v>
      </c>
      <c r="D22" s="598">
        <v>11.307214036158426</v>
      </c>
      <c r="E22" s="599">
        <v>3.9368775196877213</v>
      </c>
      <c r="F22" s="599">
        <v>0</v>
      </c>
      <c r="G22" s="599">
        <v>0</v>
      </c>
      <c r="H22" s="599">
        <v>0</v>
      </c>
      <c r="I22" s="599">
        <v>0</v>
      </c>
      <c r="J22" s="599"/>
      <c r="K22" s="599"/>
      <c r="L22" s="58"/>
    </row>
    <row r="23" spans="2:12" s="2" customFormat="1">
      <c r="B23" s="544" t="s">
        <v>582</v>
      </c>
      <c r="C23" s="152" t="s">
        <v>128</v>
      </c>
      <c r="D23" s="598">
        <v>0</v>
      </c>
      <c r="E23" s="599">
        <v>0</v>
      </c>
      <c r="F23" s="599">
        <v>0</v>
      </c>
      <c r="G23" s="599">
        <v>0</v>
      </c>
      <c r="H23" s="599">
        <v>0</v>
      </c>
      <c r="I23" s="599">
        <v>0</v>
      </c>
      <c r="J23" s="599"/>
      <c r="K23" s="599"/>
      <c r="L23" s="58"/>
    </row>
    <row r="24" spans="2:12" s="2" customFormat="1">
      <c r="B24" s="544" t="s">
        <v>582</v>
      </c>
      <c r="C24" s="152" t="s">
        <v>128</v>
      </c>
      <c r="D24" s="598">
        <v>0</v>
      </c>
      <c r="E24" s="599">
        <v>0</v>
      </c>
      <c r="F24" s="599">
        <v>0</v>
      </c>
      <c r="G24" s="599">
        <v>0</v>
      </c>
      <c r="H24" s="599">
        <v>0</v>
      </c>
      <c r="I24" s="599">
        <v>0</v>
      </c>
      <c r="J24" s="599"/>
      <c r="K24" s="599"/>
      <c r="L24" s="58"/>
    </row>
    <row r="25" spans="2:12" s="2" customFormat="1">
      <c r="B25" s="774" t="s">
        <v>135</v>
      </c>
      <c r="C25" s="152" t="s">
        <v>128</v>
      </c>
      <c r="D25" s="598">
        <v>3.7028664247015106</v>
      </c>
      <c r="E25" s="599">
        <v>0</v>
      </c>
      <c r="F25" s="599">
        <v>7.8747965616128361</v>
      </c>
      <c r="G25" s="599">
        <v>-6.6659679948944692</v>
      </c>
      <c r="H25" s="599">
        <v>-4.543512297229964</v>
      </c>
      <c r="I25" s="599">
        <v>-16.679379245768985</v>
      </c>
      <c r="J25" s="599"/>
      <c r="K25" s="599"/>
      <c r="L25" s="58"/>
    </row>
    <row r="26" spans="2:12" s="2" customFormat="1">
      <c r="B26" s="769" t="s">
        <v>148</v>
      </c>
      <c r="C26" s="152" t="s">
        <v>128</v>
      </c>
      <c r="D26" s="604">
        <f>SUM(D14:D24,-D25)</f>
        <v>383.79577345479782</v>
      </c>
      <c r="E26" s="605">
        <f t="shared" ref="E26:K26" si="2">SUM(E14:E24,-E25)</f>
        <v>393.2357412064888</v>
      </c>
      <c r="F26" s="605">
        <f t="shared" si="2"/>
        <v>381.71949479050357</v>
      </c>
      <c r="G26" s="605">
        <f t="shared" si="2"/>
        <v>422.09024093564011</v>
      </c>
      <c r="H26" s="605">
        <f t="shared" si="2"/>
        <v>418.9385019553215</v>
      </c>
      <c r="I26" s="605">
        <f t="shared" si="2"/>
        <v>438.53892500991014</v>
      </c>
      <c r="J26" s="605">
        <f t="shared" si="2"/>
        <v>14.269255186360837</v>
      </c>
      <c r="K26" s="606">
        <f t="shared" si="2"/>
        <v>16.223236836982807</v>
      </c>
      <c r="L26" s="58"/>
    </row>
    <row r="27" spans="2:12" s="2" customFormat="1">
      <c r="B27" s="225"/>
      <c r="C27" s="138"/>
      <c r="D27" s="55"/>
      <c r="E27" s="55"/>
      <c r="F27" s="55"/>
      <c r="G27" s="61"/>
      <c r="H27" s="61"/>
      <c r="I27" s="61"/>
      <c r="J27" s="61"/>
      <c r="K27" s="61"/>
      <c r="L27" s="58"/>
    </row>
    <row r="28" spans="2:12" s="2" customFormat="1">
      <c r="B28" s="225" t="s">
        <v>150</v>
      </c>
      <c r="C28" s="138"/>
      <c r="D28" s="604">
        <f>IF(ISBLANK(D33),0,D33-D26)</f>
        <v>7.5812265452021848</v>
      </c>
      <c r="E28" s="605">
        <f t="shared" ref="E28:K28" si="3">IF(ISBLANK(E33),0,E33-E26)</f>
        <v>-6.4267412064887708</v>
      </c>
      <c r="F28" s="605">
        <f t="shared" si="3"/>
        <v>-4.366300787170303</v>
      </c>
      <c r="G28" s="605">
        <f t="shared" si="3"/>
        <v>-15.971868626084415</v>
      </c>
      <c r="H28" s="605">
        <f t="shared" si="3"/>
        <v>2.4860201336206273</v>
      </c>
      <c r="I28" s="605">
        <f t="shared" si="3"/>
        <v>-22.962681558576833</v>
      </c>
      <c r="J28" s="605">
        <f t="shared" si="3"/>
        <v>0</v>
      </c>
      <c r="K28" s="606">
        <f t="shared" si="3"/>
        <v>0</v>
      </c>
      <c r="L28" s="58"/>
    </row>
    <row r="29" spans="2:12" s="2" customFormat="1">
      <c r="B29" s="225"/>
      <c r="C29" s="138"/>
      <c r="D29" s="35"/>
      <c r="E29" s="35"/>
      <c r="F29" s="35"/>
      <c r="G29" s="35"/>
      <c r="H29" s="35"/>
      <c r="I29" s="35"/>
      <c r="J29" s="35"/>
      <c r="K29" s="35"/>
      <c r="L29" s="58"/>
    </row>
    <row r="30" spans="2:12" s="2" customFormat="1">
      <c r="B30" s="225"/>
      <c r="C30" s="138"/>
      <c r="D30" s="35"/>
      <c r="E30" s="35"/>
      <c r="F30" s="35"/>
      <c r="G30" s="35"/>
      <c r="H30" s="35"/>
      <c r="I30" s="35"/>
      <c r="J30" s="35"/>
      <c r="K30" s="35"/>
      <c r="L30" s="58"/>
    </row>
    <row r="31" spans="2:12" s="2" customFormat="1">
      <c r="B31" s="770" t="s">
        <v>192</v>
      </c>
      <c r="C31" s="150"/>
      <c r="D31" s="81"/>
      <c r="E31" s="81"/>
      <c r="F31" s="81"/>
      <c r="G31" s="81"/>
      <c r="H31" s="81"/>
      <c r="I31" s="81"/>
      <c r="J31" s="81"/>
      <c r="K31" s="81"/>
      <c r="L31" s="273"/>
    </row>
    <row r="32" spans="2:12" s="2" customFormat="1">
      <c r="B32" s="225"/>
      <c r="C32" s="138"/>
      <c r="D32" s="35"/>
      <c r="E32" s="35"/>
      <c r="F32" s="35"/>
      <c r="G32" s="35"/>
      <c r="H32" s="35"/>
      <c r="I32" s="35"/>
      <c r="J32" s="35"/>
      <c r="K32" s="35"/>
      <c r="L32" s="58"/>
    </row>
    <row r="33" spans="2:12" s="2" customFormat="1">
      <c r="B33" s="771" t="s">
        <v>149</v>
      </c>
      <c r="C33" s="138"/>
      <c r="D33" s="640">
        <v>391.37700000000001</v>
      </c>
      <c r="E33" s="641">
        <v>386.80900000000003</v>
      </c>
      <c r="F33" s="641">
        <v>377.35319400333327</v>
      </c>
      <c r="G33" s="641">
        <v>406.1183723095557</v>
      </c>
      <c r="H33" s="641">
        <v>421.42452208894213</v>
      </c>
      <c r="I33" s="641">
        <v>415.57624345133331</v>
      </c>
      <c r="J33" s="641"/>
      <c r="K33" s="642"/>
      <c r="L33" s="58"/>
    </row>
    <row r="34" spans="2:12" s="2" customFormat="1">
      <c r="B34" s="129"/>
      <c r="C34" s="136"/>
      <c r="L34" s="58"/>
    </row>
    <row r="35" spans="2:12" s="2" customFormat="1">
      <c r="B35" s="394" t="s">
        <v>136</v>
      </c>
      <c r="C35" s="136"/>
      <c r="L35" s="58"/>
    </row>
    <row r="36" spans="2:12" s="2" customFormat="1">
      <c r="B36" s="900" t="s">
        <v>137</v>
      </c>
      <c r="C36" s="152" t="s">
        <v>128</v>
      </c>
      <c r="D36" s="596">
        <v>0</v>
      </c>
      <c r="E36" s="597">
        <v>0</v>
      </c>
      <c r="F36" s="597">
        <v>0</v>
      </c>
      <c r="G36" s="597">
        <v>0</v>
      </c>
      <c r="H36" s="597">
        <v>0</v>
      </c>
      <c r="I36" s="597">
        <v>0</v>
      </c>
      <c r="J36" s="597"/>
      <c r="K36" s="607"/>
      <c r="L36" s="58"/>
    </row>
    <row r="37" spans="2:12" s="2" customFormat="1">
      <c r="B37" s="900" t="s">
        <v>138</v>
      </c>
      <c r="C37" s="152" t="s">
        <v>128</v>
      </c>
      <c r="D37" s="598">
        <v>2.121</v>
      </c>
      <c r="E37" s="599">
        <v>2.298</v>
      </c>
      <c r="F37" s="599">
        <v>2.0459999999999998</v>
      </c>
      <c r="G37" s="599">
        <v>1.885</v>
      </c>
      <c r="H37" s="599">
        <v>1.7549999999999999</v>
      </c>
      <c r="I37" s="599">
        <v>1.671</v>
      </c>
      <c r="J37" s="599"/>
      <c r="K37" s="608"/>
      <c r="L37" s="58"/>
    </row>
    <row r="38" spans="2:12" s="2" customFormat="1">
      <c r="B38" s="900" t="s">
        <v>139</v>
      </c>
      <c r="C38" s="152" t="s">
        <v>128</v>
      </c>
      <c r="D38" s="598">
        <v>81.477434499356008</v>
      </c>
      <c r="E38" s="599">
        <v>83.848190351963012</v>
      </c>
      <c r="F38" s="599">
        <v>53.0162497266667</v>
      </c>
      <c r="G38" s="599">
        <v>30.034413654444606</v>
      </c>
      <c r="H38" s="599">
        <v>36.041768934444512</v>
      </c>
      <c r="I38" s="599">
        <v>43.438343618666671</v>
      </c>
      <c r="J38" s="599"/>
      <c r="K38" s="608"/>
      <c r="L38" s="58"/>
    </row>
    <row r="39" spans="2:12" s="2" customFormat="1">
      <c r="B39" s="900" t="s">
        <v>140</v>
      </c>
      <c r="C39" s="152" t="s">
        <v>128</v>
      </c>
      <c r="D39" s="598">
        <v>0</v>
      </c>
      <c r="E39" s="599">
        <v>0</v>
      </c>
      <c r="F39" s="599">
        <v>0</v>
      </c>
      <c r="G39" s="599">
        <v>0</v>
      </c>
      <c r="H39" s="599">
        <v>0</v>
      </c>
      <c r="I39" s="599">
        <v>0</v>
      </c>
      <c r="J39" s="599"/>
      <c r="K39" s="608"/>
      <c r="L39" s="58"/>
    </row>
    <row r="40" spans="2:12" s="2" customFormat="1">
      <c r="B40" s="900" t="s">
        <v>141</v>
      </c>
      <c r="C40" s="152" t="s">
        <v>128</v>
      </c>
      <c r="D40" s="598">
        <v>0</v>
      </c>
      <c r="E40" s="599">
        <v>0</v>
      </c>
      <c r="F40" s="599">
        <v>0</v>
      </c>
      <c r="G40" s="599">
        <v>0</v>
      </c>
      <c r="H40" s="599">
        <v>0</v>
      </c>
      <c r="I40" s="599">
        <v>0</v>
      </c>
      <c r="J40" s="599"/>
      <c r="K40" s="608"/>
      <c r="L40" s="58"/>
    </row>
    <row r="41" spans="2:12" s="2" customFormat="1">
      <c r="B41" s="900" t="s">
        <v>142</v>
      </c>
      <c r="C41" s="152" t="s">
        <v>128</v>
      </c>
      <c r="D41" s="598">
        <v>0.15154741000000077</v>
      </c>
      <c r="E41" s="599">
        <v>0.10917241999999999</v>
      </c>
      <c r="F41" s="599">
        <v>4.2497899999999998E-2</v>
      </c>
      <c r="G41" s="599">
        <v>0</v>
      </c>
      <c r="H41" s="599">
        <v>3.1505999999999999E-2</v>
      </c>
      <c r="I41" s="599">
        <v>2.8265999999999999E-2</v>
      </c>
      <c r="J41" s="599"/>
      <c r="K41" s="608"/>
      <c r="L41" s="58"/>
    </row>
    <row r="42" spans="2:12" s="2" customFormat="1">
      <c r="B42" s="900" t="s">
        <v>143</v>
      </c>
      <c r="C42" s="152" t="s">
        <v>128</v>
      </c>
      <c r="D42" s="598">
        <v>0</v>
      </c>
      <c r="E42" s="599">
        <v>0</v>
      </c>
      <c r="F42" s="599">
        <v>0</v>
      </c>
      <c r="G42" s="599">
        <v>0</v>
      </c>
      <c r="H42" s="599">
        <v>0</v>
      </c>
      <c r="I42" s="599">
        <v>0</v>
      </c>
      <c r="J42" s="599"/>
      <c r="K42" s="608"/>
      <c r="L42" s="58"/>
    </row>
    <row r="43" spans="2:12" s="2" customFormat="1">
      <c r="B43" s="901" t="s">
        <v>144</v>
      </c>
      <c r="C43" s="152" t="s">
        <v>128</v>
      </c>
      <c r="D43" s="609">
        <v>0</v>
      </c>
      <c r="E43" s="610">
        <v>0</v>
      </c>
      <c r="F43" s="610">
        <v>0</v>
      </c>
      <c r="G43" s="610">
        <v>0</v>
      </c>
      <c r="H43" s="610">
        <v>0</v>
      </c>
      <c r="I43" s="610">
        <v>0</v>
      </c>
      <c r="J43" s="610"/>
      <c r="K43" s="611"/>
      <c r="L43" s="58"/>
    </row>
    <row r="44" spans="2:12" s="2" customFormat="1">
      <c r="B44" s="899" t="s">
        <v>513</v>
      </c>
      <c r="C44" s="152" t="s">
        <v>128</v>
      </c>
      <c r="D44" s="609">
        <v>0</v>
      </c>
      <c r="E44" s="610">
        <v>0</v>
      </c>
      <c r="F44" s="610">
        <v>0</v>
      </c>
      <c r="G44" s="610">
        <v>0</v>
      </c>
      <c r="H44" s="610">
        <v>0</v>
      </c>
      <c r="I44" s="610">
        <v>0</v>
      </c>
      <c r="J44" s="610"/>
      <c r="K44" s="611"/>
      <c r="L44" s="58"/>
    </row>
    <row r="45" spans="2:12" s="2" customFormat="1">
      <c r="B45" s="394" t="s">
        <v>175</v>
      </c>
      <c r="C45" s="152" t="s">
        <v>128</v>
      </c>
      <c r="D45" s="612">
        <f>SUM(D36:D44)</f>
        <v>83.749981909356009</v>
      </c>
      <c r="E45" s="613">
        <f t="shared" ref="E45:K45" si="4">SUM(E36:E44)</f>
        <v>86.255362771963007</v>
      </c>
      <c r="F45" s="613">
        <f t="shared" si="4"/>
        <v>55.1047476266667</v>
      </c>
      <c r="G45" s="613">
        <f t="shared" si="4"/>
        <v>31.919413654444607</v>
      </c>
      <c r="H45" s="613">
        <f t="shared" si="4"/>
        <v>37.828274934444515</v>
      </c>
      <c r="I45" s="613">
        <f t="shared" si="4"/>
        <v>45.137609618666673</v>
      </c>
      <c r="J45" s="613">
        <f t="shared" si="4"/>
        <v>0</v>
      </c>
      <c r="K45" s="614">
        <f t="shared" si="4"/>
        <v>0</v>
      </c>
      <c r="L45" s="58"/>
    </row>
    <row r="46" spans="2:12" s="2" customFormat="1">
      <c r="B46" s="129"/>
      <c r="C46" s="136"/>
      <c r="L46" s="58"/>
    </row>
    <row r="47" spans="2:12" s="2" customFormat="1">
      <c r="B47" s="394" t="s">
        <v>145</v>
      </c>
      <c r="C47" s="136"/>
      <c r="L47" s="54"/>
    </row>
    <row r="48" spans="2:12" s="2" customFormat="1">
      <c r="B48" s="544" t="s">
        <v>583</v>
      </c>
      <c r="C48" s="152" t="s">
        <v>128</v>
      </c>
      <c r="D48" s="615">
        <v>-13.661</v>
      </c>
      <c r="E48" s="616">
        <v>-11.881</v>
      </c>
      <c r="F48" s="616">
        <v>-9.8889999999999993</v>
      </c>
      <c r="G48" s="616">
        <v>-5.8407284200001417</v>
      </c>
      <c r="H48" s="616">
        <v>-6.4895812900000704</v>
      </c>
      <c r="I48" s="616">
        <v>-10.119329790000011</v>
      </c>
      <c r="J48" s="616"/>
      <c r="K48" s="617"/>
      <c r="L48" s="58"/>
    </row>
    <row r="49" spans="2:12" s="2" customFormat="1">
      <c r="B49" s="544" t="s">
        <v>584</v>
      </c>
      <c r="C49" s="152" t="s">
        <v>128</v>
      </c>
      <c r="D49" s="618">
        <v>-0.152</v>
      </c>
      <c r="E49" s="619">
        <v>-0.109</v>
      </c>
      <c r="F49" s="619">
        <v>-4.2000000000000003E-2</v>
      </c>
      <c r="G49" s="619">
        <v>0</v>
      </c>
      <c r="H49" s="619">
        <v>-3.1505999999999999E-2</v>
      </c>
      <c r="I49" s="619">
        <v>-2.8265999999999999E-2</v>
      </c>
      <c r="J49" s="619"/>
      <c r="K49" s="620"/>
      <c r="L49" s="58"/>
    </row>
    <row r="50" spans="2:12" s="2" customFormat="1">
      <c r="B50" s="544" t="s">
        <v>585</v>
      </c>
      <c r="C50" s="152" t="s">
        <v>128</v>
      </c>
      <c r="D50" s="618">
        <v>-55.314999999999998</v>
      </c>
      <c r="E50" s="619">
        <v>-60.927</v>
      </c>
      <c r="F50" s="619">
        <v>-33.768999999999998</v>
      </c>
      <c r="G50" s="619">
        <v>-16.256139040000019</v>
      </c>
      <c r="H50" s="619">
        <v>-22.498926800000003</v>
      </c>
      <c r="I50" s="619">
        <v>-26.458942249999993</v>
      </c>
      <c r="J50" s="619"/>
      <c r="K50" s="620"/>
      <c r="L50" s="58"/>
    </row>
    <row r="51" spans="2:12" s="2" customFormat="1">
      <c r="B51" s="544" t="s">
        <v>586</v>
      </c>
      <c r="C51" s="152" t="s">
        <v>128</v>
      </c>
      <c r="D51" s="618">
        <v>0</v>
      </c>
      <c r="E51" s="619">
        <v>0</v>
      </c>
      <c r="F51" s="619">
        <v>0</v>
      </c>
      <c r="G51" s="619">
        <v>21.663190570000001</v>
      </c>
      <c r="H51" s="619">
        <v>22.196542740000002</v>
      </c>
      <c r="I51" s="619">
        <v>22.759502310000002</v>
      </c>
      <c r="J51" s="619"/>
      <c r="K51" s="620"/>
      <c r="L51" s="58"/>
    </row>
    <row r="52" spans="2:12" s="2" customFormat="1">
      <c r="B52" s="544" t="s">
        <v>587</v>
      </c>
      <c r="C52" s="152" t="s">
        <v>128</v>
      </c>
      <c r="D52" s="618">
        <v>0</v>
      </c>
      <c r="E52" s="619">
        <v>0</v>
      </c>
      <c r="F52" s="619">
        <v>0</v>
      </c>
      <c r="G52" s="619">
        <v>0.54082004599985023</v>
      </c>
      <c r="H52" s="619">
        <v>0.54289801661339077</v>
      </c>
      <c r="I52" s="619">
        <v>0</v>
      </c>
      <c r="J52" s="619"/>
      <c r="K52" s="620"/>
      <c r="L52" s="58"/>
    </row>
    <row r="53" spans="2:12" s="2" customFormat="1">
      <c r="B53" s="544" t="s">
        <v>582</v>
      </c>
      <c r="C53" s="152" t="s">
        <v>128</v>
      </c>
      <c r="D53" s="618">
        <v>0</v>
      </c>
      <c r="E53" s="619">
        <v>0</v>
      </c>
      <c r="F53" s="619">
        <v>0</v>
      </c>
      <c r="G53" s="619">
        <v>0</v>
      </c>
      <c r="H53" s="619">
        <v>0</v>
      </c>
      <c r="I53" s="619">
        <v>0</v>
      </c>
      <c r="J53" s="619"/>
      <c r="K53" s="620"/>
      <c r="L53" s="58"/>
    </row>
    <row r="54" spans="2:12" s="2" customFormat="1">
      <c r="B54" s="544" t="s">
        <v>582</v>
      </c>
      <c r="C54" s="152" t="s">
        <v>128</v>
      </c>
      <c r="D54" s="618">
        <v>0</v>
      </c>
      <c r="E54" s="619">
        <v>0</v>
      </c>
      <c r="F54" s="619">
        <v>0</v>
      </c>
      <c r="G54" s="619">
        <v>0</v>
      </c>
      <c r="H54" s="619">
        <v>0</v>
      </c>
      <c r="I54" s="619">
        <v>0</v>
      </c>
      <c r="J54" s="619"/>
      <c r="K54" s="620"/>
      <c r="L54" s="58"/>
    </row>
    <row r="55" spans="2:12" s="2" customFormat="1">
      <c r="B55" s="544" t="s">
        <v>582</v>
      </c>
      <c r="C55" s="152" t="s">
        <v>128</v>
      </c>
      <c r="D55" s="618">
        <v>0</v>
      </c>
      <c r="E55" s="619">
        <v>0</v>
      </c>
      <c r="F55" s="619">
        <v>0</v>
      </c>
      <c r="G55" s="619">
        <v>0</v>
      </c>
      <c r="H55" s="619">
        <v>0</v>
      </c>
      <c r="I55" s="619">
        <v>0</v>
      </c>
      <c r="J55" s="619"/>
      <c r="K55" s="620"/>
      <c r="L55" s="58"/>
    </row>
    <row r="56" spans="2:12" s="2" customFormat="1">
      <c r="B56" s="544" t="s">
        <v>582</v>
      </c>
      <c r="C56" s="152" t="s">
        <v>128</v>
      </c>
      <c r="D56" s="618">
        <v>0</v>
      </c>
      <c r="E56" s="619">
        <v>0</v>
      </c>
      <c r="F56" s="619">
        <v>0</v>
      </c>
      <c r="G56" s="619">
        <v>0</v>
      </c>
      <c r="H56" s="619">
        <v>0</v>
      </c>
      <c r="I56" s="619">
        <v>0</v>
      </c>
      <c r="J56" s="619"/>
      <c r="K56" s="620"/>
      <c r="L56" s="58"/>
    </row>
    <row r="57" spans="2:12" s="2" customFormat="1">
      <c r="B57" s="544" t="s">
        <v>582</v>
      </c>
      <c r="C57" s="152" t="s">
        <v>128</v>
      </c>
      <c r="D57" s="618">
        <v>0</v>
      </c>
      <c r="E57" s="619">
        <v>0</v>
      </c>
      <c r="F57" s="619">
        <v>0</v>
      </c>
      <c r="G57" s="619">
        <v>0</v>
      </c>
      <c r="H57" s="619">
        <v>0</v>
      </c>
      <c r="I57" s="619">
        <v>0</v>
      </c>
      <c r="J57" s="619"/>
      <c r="K57" s="620"/>
      <c r="L57" s="58"/>
    </row>
    <row r="58" spans="2:12" s="2" customFormat="1">
      <c r="B58" s="544" t="s">
        <v>582</v>
      </c>
      <c r="C58" s="152" t="s">
        <v>128</v>
      </c>
      <c r="D58" s="618">
        <v>0</v>
      </c>
      <c r="E58" s="619">
        <v>0</v>
      </c>
      <c r="F58" s="619">
        <v>0</v>
      </c>
      <c r="G58" s="619">
        <v>0</v>
      </c>
      <c r="H58" s="619">
        <v>0</v>
      </c>
      <c r="I58" s="619">
        <v>0</v>
      </c>
      <c r="J58" s="619"/>
      <c r="K58" s="620"/>
      <c r="L58" s="58"/>
    </row>
    <row r="59" spans="2:12" s="2" customFormat="1">
      <c r="B59" s="544" t="s">
        <v>582</v>
      </c>
      <c r="C59" s="152" t="s">
        <v>128</v>
      </c>
      <c r="D59" s="618">
        <v>0</v>
      </c>
      <c r="E59" s="619">
        <v>0</v>
      </c>
      <c r="F59" s="619">
        <v>0</v>
      </c>
      <c r="G59" s="619">
        <v>0</v>
      </c>
      <c r="H59" s="619">
        <v>0</v>
      </c>
      <c r="I59" s="619">
        <v>0</v>
      </c>
      <c r="J59" s="619"/>
      <c r="K59" s="620"/>
      <c r="L59" s="58"/>
    </row>
    <row r="60" spans="2:12" s="2" customFormat="1">
      <c r="B60" s="544" t="s">
        <v>582</v>
      </c>
      <c r="C60" s="152" t="s">
        <v>128</v>
      </c>
      <c r="D60" s="618">
        <v>0</v>
      </c>
      <c r="E60" s="619">
        <v>0</v>
      </c>
      <c r="F60" s="619">
        <v>0</v>
      </c>
      <c r="G60" s="619">
        <v>0</v>
      </c>
      <c r="H60" s="619">
        <v>0</v>
      </c>
      <c r="I60" s="619">
        <v>0</v>
      </c>
      <c r="J60" s="619"/>
      <c r="K60" s="620"/>
      <c r="L60" s="58"/>
    </row>
    <row r="61" spans="2:12" s="2" customFormat="1">
      <c r="B61" s="544" t="s">
        <v>582</v>
      </c>
      <c r="C61" s="152" t="s">
        <v>128</v>
      </c>
      <c r="D61" s="618">
        <v>0</v>
      </c>
      <c r="E61" s="619">
        <v>0</v>
      </c>
      <c r="F61" s="619">
        <v>0</v>
      </c>
      <c r="G61" s="619">
        <v>0</v>
      </c>
      <c r="H61" s="619">
        <v>0</v>
      </c>
      <c r="I61" s="619">
        <v>0</v>
      </c>
      <c r="J61" s="619"/>
      <c r="K61" s="620"/>
      <c r="L61" s="58"/>
    </row>
    <row r="62" spans="2:12" s="2" customFormat="1">
      <c r="B62" s="544" t="s">
        <v>582</v>
      </c>
      <c r="C62" s="152" t="s">
        <v>128</v>
      </c>
      <c r="D62" s="618">
        <v>0</v>
      </c>
      <c r="E62" s="619">
        <v>0</v>
      </c>
      <c r="F62" s="619">
        <v>0</v>
      </c>
      <c r="G62" s="619">
        <v>0</v>
      </c>
      <c r="H62" s="619">
        <v>0</v>
      </c>
      <c r="I62" s="619">
        <v>0</v>
      </c>
      <c r="J62" s="619"/>
      <c r="K62" s="620"/>
      <c r="L62" s="58"/>
    </row>
    <row r="63" spans="2:12" s="2" customFormat="1">
      <c r="B63" s="775" t="s">
        <v>588</v>
      </c>
      <c r="C63" s="152" t="s">
        <v>128</v>
      </c>
      <c r="D63" s="621">
        <v>0</v>
      </c>
      <c r="E63" s="622">
        <v>0</v>
      </c>
      <c r="F63" s="623">
        <v>0</v>
      </c>
      <c r="G63" s="622">
        <v>0</v>
      </c>
      <c r="H63" s="622">
        <v>0</v>
      </c>
      <c r="I63" s="622">
        <v>0</v>
      </c>
      <c r="J63" s="622"/>
      <c r="K63" s="624"/>
      <c r="L63" s="58"/>
    </row>
    <row r="64" spans="2:12" s="2" customFormat="1">
      <c r="B64" s="771" t="s">
        <v>176</v>
      </c>
      <c r="C64" s="152" t="s">
        <v>128</v>
      </c>
      <c r="D64" s="604">
        <f t="shared" ref="D64:K64" si="5">SUM(D48:D63)</f>
        <v>-69.128</v>
      </c>
      <c r="E64" s="605">
        <f t="shared" si="5"/>
        <v>-72.917000000000002</v>
      </c>
      <c r="F64" s="605">
        <f t="shared" si="5"/>
        <v>-43.699999999999996</v>
      </c>
      <c r="G64" s="605">
        <f t="shared" si="5"/>
        <v>0.10714315599968938</v>
      </c>
      <c r="H64" s="605">
        <f t="shared" si="5"/>
        <v>-6.2805733333866822</v>
      </c>
      <c r="I64" s="605">
        <f t="shared" si="5"/>
        <v>-13.847035730000002</v>
      </c>
      <c r="J64" s="605">
        <f t="shared" si="5"/>
        <v>0</v>
      </c>
      <c r="K64" s="606">
        <f t="shared" si="5"/>
        <v>0</v>
      </c>
      <c r="L64" s="58"/>
    </row>
    <row r="65" spans="1:12" s="2" customFormat="1">
      <c r="B65" s="225"/>
      <c r="C65" s="138"/>
      <c r="D65" s="56"/>
      <c r="E65" s="56"/>
      <c r="F65" s="56"/>
      <c r="G65" s="56"/>
      <c r="H65" s="56"/>
      <c r="I65" s="56"/>
      <c r="J65" s="56"/>
      <c r="K65" s="56"/>
      <c r="L65" s="58"/>
    </row>
    <row r="66" spans="1:12" s="2" customFormat="1">
      <c r="B66" s="771" t="s">
        <v>146</v>
      </c>
      <c r="C66" s="152" t="s">
        <v>128</v>
      </c>
      <c r="D66" s="625">
        <f t="shared" ref="D66:K66" si="6">D33+D45+D64</f>
        <v>405.99898190935602</v>
      </c>
      <c r="E66" s="626">
        <f t="shared" si="6"/>
        <v>400.147362771963</v>
      </c>
      <c r="F66" s="626">
        <f t="shared" si="6"/>
        <v>388.75794163</v>
      </c>
      <c r="G66" s="626">
        <f t="shared" si="6"/>
        <v>438.14492911999997</v>
      </c>
      <c r="H66" s="626">
        <f t="shared" si="6"/>
        <v>452.97222368999996</v>
      </c>
      <c r="I66" s="626">
        <f t="shared" si="6"/>
        <v>446.86681733999995</v>
      </c>
      <c r="J66" s="626">
        <f t="shared" si="6"/>
        <v>0</v>
      </c>
      <c r="K66" s="627">
        <f t="shared" si="6"/>
        <v>0</v>
      </c>
      <c r="L66" s="58"/>
    </row>
    <row r="67" spans="1:12" s="2" customFormat="1">
      <c r="B67" s="771" t="s">
        <v>193</v>
      </c>
      <c r="C67" s="152" t="s">
        <v>128</v>
      </c>
      <c r="D67" s="628">
        <v>406</v>
      </c>
      <c r="E67" s="629">
        <v>400.1</v>
      </c>
      <c r="F67" s="629">
        <v>388.8</v>
      </c>
      <c r="G67" s="629">
        <v>438.2</v>
      </c>
      <c r="H67" s="629">
        <v>452.97245124999995</v>
      </c>
      <c r="I67" s="629">
        <v>446.86700731000002</v>
      </c>
      <c r="J67" s="629"/>
      <c r="K67" s="630"/>
      <c r="L67" s="58"/>
    </row>
    <row r="68" spans="1:12" s="2" customFormat="1">
      <c r="B68" s="225" t="s">
        <v>122</v>
      </c>
      <c r="C68" s="138"/>
      <c r="D68" s="115" t="str">
        <f>IF(ABS(D66-D67)&lt;'RFPR cover'!$F$14,"OK","Error")</f>
        <v>OK</v>
      </c>
      <c r="E68" s="115" t="str">
        <f>IF(ABS(E66-E67)&lt;'RFPR cover'!$F$14,"OK","Error")</f>
        <v>OK</v>
      </c>
      <c r="F68" s="115" t="str">
        <f>IF(ABS(F66-F67)&lt;'RFPR cover'!$F$14,"OK","Error")</f>
        <v>OK</v>
      </c>
      <c r="G68" s="115" t="str">
        <f>IF(ABS(G66-G67)&lt;'RFPR cover'!$F$14,"OK","Error")</f>
        <v>OK</v>
      </c>
      <c r="H68" s="115" t="str">
        <f>IF(ABS(H66-H67)&lt;'RFPR cover'!$F$14,"OK","Error")</f>
        <v>OK</v>
      </c>
      <c r="I68" s="115" t="str">
        <f>IF(ABS(I66-I67)&lt;'RFPR cover'!$F$14,"OK","Error")</f>
        <v>OK</v>
      </c>
      <c r="J68" s="115" t="str">
        <f>IF(ABS(J66-J67)&lt;'RFPR cover'!$F$14,"OK","Error")</f>
        <v>OK</v>
      </c>
      <c r="K68" s="115" t="str">
        <f>IF(ABS(K66-K67)&lt;'RFPR cover'!$F$14,"OK","Error")</f>
        <v>OK</v>
      </c>
      <c r="L68" s="58"/>
    </row>
    <row r="69" spans="1:12" s="2" customFormat="1">
      <c r="B69" s="129"/>
      <c r="C69" s="138"/>
      <c r="D69" s="48"/>
      <c r="E69" s="48"/>
      <c r="F69" s="48"/>
      <c r="G69" s="48"/>
      <c r="H69" s="48"/>
      <c r="I69" s="48"/>
      <c r="J69" s="48"/>
      <c r="K69" s="48"/>
      <c r="L69" s="58"/>
    </row>
    <row r="70" spans="1:12" s="2" customFormat="1">
      <c r="B70" s="129"/>
      <c r="C70" s="136"/>
      <c r="L70" s="54"/>
    </row>
    <row r="71" spans="1:12" s="2" customFormat="1">
      <c r="A71" s="81"/>
      <c r="B71" s="776"/>
      <c r="C71" s="150"/>
      <c r="D71" s="81"/>
      <c r="E71" s="81"/>
      <c r="F71" s="81"/>
      <c r="G71" s="81"/>
      <c r="H71" s="81"/>
      <c r="I71" s="81"/>
      <c r="J71" s="81"/>
      <c r="K71" s="81"/>
      <c r="L71" s="272"/>
    </row>
  </sheetData>
  <conditionalFormatting sqref="D6:K6">
    <cfRule type="expression" dxfId="60" priority="12">
      <formula>AND(D$5="Actuals",E$5="Forecast")</formula>
    </cfRule>
  </conditionalFormatting>
  <conditionalFormatting sqref="D5:K5">
    <cfRule type="expression" dxfId="59" priority="5">
      <formula>AND(D$5="Actuals",E$5="Forecast")</formula>
    </cfRule>
  </conditionalFormatting>
  <conditionalFormatting sqref="D33:K33 D36:K45 D48:K64 D28:H28 D66:K68">
    <cfRule type="expression" dxfId="58" priority="4">
      <formula>D$5="Forecast"</formula>
    </cfRule>
  </conditionalFormatting>
  <conditionalFormatting sqref="I10:K26 I28:K28">
    <cfRule type="expression" dxfId="57" priority="3">
      <formula>I$5="Forecast"</formula>
    </cfRule>
  </conditionalFormatting>
  <conditionalFormatting sqref="H10:H26">
    <cfRule type="expression" dxfId="56" priority="2">
      <formula>H$5="Forecast"</formula>
    </cfRule>
  </conditionalFormatting>
  <conditionalFormatting sqref="G10:G26">
    <cfRule type="expression" dxfId="55" priority="1">
      <formula>G$5="Forecast"</formula>
    </cfRule>
  </conditionalFormatting>
  <pageMargins left="0.70866141732283472" right="0.70866141732283472" top="0.74803149606299213" bottom="0.74803149606299213" header="0.31496062992125984" footer="0.31496062992125984"/>
  <pageSetup paperSize="8" scale="94" fitToHeight="2" orientation="landscape"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4.5" customWidth="1"/>
    <col min="3" max="3" width="13.375" style="136" customWidth="1"/>
    <col min="4" max="11" width="11.125" customWidth="1"/>
    <col min="12" max="12" width="5" customWidth="1"/>
  </cols>
  <sheetData>
    <row r="1" spans="1:12" s="31" customFormat="1" ht="20.25">
      <c r="A1" s="930" t="s">
        <v>308</v>
      </c>
      <c r="B1" s="931"/>
      <c r="C1" s="148"/>
      <c r="D1" s="121"/>
      <c r="E1" s="121"/>
      <c r="F1" s="121"/>
      <c r="G1" s="121"/>
      <c r="H1" s="121"/>
      <c r="I1" s="121"/>
      <c r="J1" s="121"/>
      <c r="K1" s="121"/>
      <c r="L1" s="122"/>
    </row>
    <row r="2" spans="1:12" s="31" customFormat="1" ht="20.25">
      <c r="A2" s="915" t="str">
        <f>'RFPR cover'!C5</f>
        <v>SPD</v>
      </c>
      <c r="B2" s="907"/>
      <c r="C2" s="134"/>
      <c r="D2" s="29"/>
      <c r="E2" s="29"/>
      <c r="F2" s="29"/>
      <c r="G2" s="29"/>
      <c r="H2" s="29"/>
      <c r="I2" s="27"/>
      <c r="J2" s="27"/>
      <c r="K2" s="27"/>
      <c r="L2" s="123"/>
    </row>
    <row r="3" spans="1:12" s="31" customFormat="1" ht="20.25">
      <c r="A3" s="932">
        <f>'RFPR cover'!C7</f>
        <v>2021</v>
      </c>
      <c r="B3" s="933"/>
      <c r="C3" s="149"/>
      <c r="D3" s="124"/>
      <c r="E3" s="124"/>
      <c r="F3" s="124"/>
      <c r="G3" s="124"/>
      <c r="H3" s="124"/>
      <c r="I3" s="28"/>
      <c r="J3" s="28"/>
      <c r="K3" s="28"/>
      <c r="L3" s="125"/>
    </row>
    <row r="4" spans="1:12" s="2" customFormat="1" ht="12.75" customHeight="1">
      <c r="C4" s="136"/>
    </row>
    <row r="5" spans="1:12" s="2" customFormat="1">
      <c r="B5" s="3"/>
      <c r="C5" s="136"/>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Actuals</v>
      </c>
      <c r="J5" s="391" t="str">
        <f>IF(J6&lt;='RFPR cover'!$C$7,"Actuals","N/A")</f>
        <v>N/A</v>
      </c>
      <c r="K5" s="392" t="str">
        <f>IF(K6&lt;='RFPR cover'!$C$7,"Actuals","N/A")</f>
        <v>N/A</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C7" s="136"/>
    </row>
    <row r="8" spans="1:12" s="2" customFormat="1">
      <c r="B8" s="51" t="s">
        <v>314</v>
      </c>
      <c r="C8" s="137"/>
      <c r="D8" s="51"/>
      <c r="E8" s="51"/>
      <c r="F8" s="51"/>
      <c r="G8" s="51"/>
      <c r="H8" s="51"/>
      <c r="I8" s="51"/>
      <c r="J8" s="51"/>
      <c r="K8" s="51"/>
      <c r="L8" s="35"/>
    </row>
    <row r="9" spans="1:12" s="2" customFormat="1">
      <c r="B9" s="129" t="s">
        <v>159</v>
      </c>
      <c r="C9" s="152" t="s">
        <v>128</v>
      </c>
      <c r="D9" s="596">
        <v>210.59999999999982</v>
      </c>
      <c r="E9" s="597">
        <v>223.2000000000001</v>
      </c>
      <c r="F9" s="597">
        <v>185.39999999999989</v>
      </c>
      <c r="G9" s="597">
        <v>206.6</v>
      </c>
      <c r="H9" s="597">
        <v>261.69999999999993</v>
      </c>
      <c r="I9" s="597">
        <v>270.69999999999993</v>
      </c>
      <c r="J9" s="597"/>
      <c r="K9" s="607"/>
    </row>
    <row r="10" spans="1:12" s="2" customFormat="1">
      <c r="B10" s="129" t="s">
        <v>160</v>
      </c>
      <c r="C10" s="152" t="s">
        <v>128</v>
      </c>
      <c r="D10" s="598">
        <v>0</v>
      </c>
      <c r="E10" s="599">
        <v>0</v>
      </c>
      <c r="F10" s="599">
        <v>0</v>
      </c>
      <c r="G10" s="599">
        <v>0</v>
      </c>
      <c r="H10" s="599">
        <v>0</v>
      </c>
      <c r="I10" s="599">
        <v>0</v>
      </c>
      <c r="J10" s="599"/>
      <c r="K10" s="608"/>
    </row>
    <row r="11" spans="1:12" s="2" customFormat="1" ht="29.25" customHeight="1">
      <c r="B11" s="130" t="s">
        <v>441</v>
      </c>
      <c r="C11" s="152" t="s">
        <v>128</v>
      </c>
      <c r="D11" s="598">
        <v>-0.25398512000000001</v>
      </c>
      <c r="E11" s="599">
        <v>-0.17613429</v>
      </c>
      <c r="F11" s="599">
        <v>-0.31744864</v>
      </c>
      <c r="G11" s="599">
        <v>-5.0716279999999996E-2</v>
      </c>
      <c r="H11" s="599">
        <v>-5.6185449999999998E-2</v>
      </c>
      <c r="I11" s="599">
        <v>-0.70825634000000004</v>
      </c>
      <c r="J11" s="599"/>
      <c r="K11" s="608"/>
    </row>
    <row r="12" spans="1:12" s="2" customFormat="1">
      <c r="B12" s="129" t="s">
        <v>161</v>
      </c>
      <c r="C12" s="152" t="s">
        <v>128</v>
      </c>
      <c r="D12" s="598">
        <v>-58.942541937671997</v>
      </c>
      <c r="E12" s="599">
        <v>-69.2</v>
      </c>
      <c r="F12" s="599">
        <v>-37</v>
      </c>
      <c r="G12" s="599">
        <v>-21.5</v>
      </c>
      <c r="H12" s="599">
        <v>-37.9</v>
      </c>
      <c r="I12" s="599">
        <v>-39.9</v>
      </c>
      <c r="J12" s="599"/>
      <c r="K12" s="608"/>
    </row>
    <row r="13" spans="1:12" s="2" customFormat="1">
      <c r="B13" s="129" t="s">
        <v>162</v>
      </c>
      <c r="C13" s="152" t="s">
        <v>128</v>
      </c>
      <c r="D13" s="598">
        <v>0</v>
      </c>
      <c r="E13" s="599">
        <v>0</v>
      </c>
      <c r="F13" s="599">
        <v>0</v>
      </c>
      <c r="G13" s="599">
        <v>0</v>
      </c>
      <c r="H13" s="599">
        <v>0</v>
      </c>
      <c r="I13" s="599">
        <v>0</v>
      </c>
      <c r="J13" s="599"/>
      <c r="K13" s="608"/>
    </row>
    <row r="14" spans="1:12" s="2" customFormat="1">
      <c r="B14" s="129" t="s">
        <v>163</v>
      </c>
      <c r="C14" s="152" t="s">
        <v>128</v>
      </c>
      <c r="D14" s="634">
        <v>0</v>
      </c>
      <c r="E14" s="635">
        <v>0</v>
      </c>
      <c r="F14" s="635">
        <v>0</v>
      </c>
      <c r="G14" s="635">
        <v>0</v>
      </c>
      <c r="H14" s="635">
        <v>0</v>
      </c>
      <c r="I14" s="635">
        <v>0</v>
      </c>
      <c r="J14" s="635"/>
      <c r="K14" s="636"/>
    </row>
    <row r="15" spans="1:12" s="2" customFormat="1">
      <c r="A15" s="3">
        <v>1</v>
      </c>
      <c r="B15" s="875" t="s">
        <v>592</v>
      </c>
      <c r="C15" s="152" t="s">
        <v>128</v>
      </c>
      <c r="D15" s="596">
        <v>0</v>
      </c>
      <c r="E15" s="597">
        <v>0</v>
      </c>
      <c r="F15" s="597">
        <v>0</v>
      </c>
      <c r="G15" s="597">
        <v>0</v>
      </c>
      <c r="H15" s="597">
        <v>0</v>
      </c>
      <c r="I15" s="597">
        <v>0</v>
      </c>
      <c r="J15" s="597"/>
      <c r="K15" s="607"/>
    </row>
    <row r="16" spans="1:12" s="2" customFormat="1">
      <c r="A16" s="3">
        <v>2</v>
      </c>
      <c r="B16" s="875" t="s">
        <v>593</v>
      </c>
      <c r="C16" s="152" t="s">
        <v>128</v>
      </c>
      <c r="D16" s="598">
        <v>0</v>
      </c>
      <c r="E16" s="599">
        <v>0</v>
      </c>
      <c r="F16" s="599">
        <v>0</v>
      </c>
      <c r="G16" s="599">
        <v>0</v>
      </c>
      <c r="H16" s="599">
        <v>-58.2</v>
      </c>
      <c r="I16" s="599">
        <v>-61.400000000000006</v>
      </c>
      <c r="J16" s="599"/>
      <c r="K16" s="608"/>
    </row>
    <row r="17" spans="1:11" s="2" customFormat="1">
      <c r="A17" s="3">
        <v>3</v>
      </c>
      <c r="B17" s="875" t="s">
        <v>582</v>
      </c>
      <c r="C17" s="152" t="s">
        <v>128</v>
      </c>
      <c r="D17" s="598">
        <v>0</v>
      </c>
      <c r="E17" s="599">
        <v>0</v>
      </c>
      <c r="F17" s="599">
        <v>0</v>
      </c>
      <c r="G17" s="599">
        <v>0</v>
      </c>
      <c r="H17" s="599">
        <v>0</v>
      </c>
      <c r="I17" s="599">
        <v>0</v>
      </c>
      <c r="J17" s="599"/>
      <c r="K17" s="608"/>
    </row>
    <row r="18" spans="1:11" s="2" customFormat="1">
      <c r="B18" s="12" t="s">
        <v>164</v>
      </c>
      <c r="C18" s="152" t="s">
        <v>128</v>
      </c>
      <c r="D18" s="637">
        <f>SUM(D9:D17)</f>
        <v>151.40347294232782</v>
      </c>
      <c r="E18" s="638">
        <f t="shared" ref="E18:K18" si="1">SUM(E9:E17)</f>
        <v>153.82386571000012</v>
      </c>
      <c r="F18" s="638">
        <f t="shared" si="1"/>
        <v>148.08255135999988</v>
      </c>
      <c r="G18" s="638">
        <f t="shared" si="1"/>
        <v>185.04928372000001</v>
      </c>
      <c r="H18" s="638">
        <f t="shared" si="1"/>
        <v>165.54381454999992</v>
      </c>
      <c r="I18" s="638">
        <f t="shared" si="1"/>
        <v>168.69174365999993</v>
      </c>
      <c r="J18" s="638">
        <f t="shared" si="1"/>
        <v>0</v>
      </c>
      <c r="K18" s="639">
        <f t="shared" si="1"/>
        <v>0</v>
      </c>
    </row>
    <row r="19" spans="1:11" s="2" customFormat="1">
      <c r="B19" s="129" t="s">
        <v>165</v>
      </c>
      <c r="C19" s="152" t="s">
        <v>128</v>
      </c>
      <c r="D19" s="640">
        <v>133.75398512000001</v>
      </c>
      <c r="E19" s="641">
        <v>137.19705494999999</v>
      </c>
      <c r="F19" s="641">
        <v>141.6698379</v>
      </c>
      <c r="G19" s="641">
        <v>150.25071628000001</v>
      </c>
      <c r="H19" s="641">
        <v>163.33727196999999</v>
      </c>
      <c r="I19" s="641">
        <v>157.58934285999999</v>
      </c>
      <c r="J19" s="641"/>
      <c r="K19" s="642"/>
    </row>
    <row r="20" spans="1:11" s="2" customFormat="1">
      <c r="A20" s="3">
        <v>1</v>
      </c>
      <c r="B20" s="875" t="s">
        <v>582</v>
      </c>
      <c r="C20" s="152" t="s">
        <v>128</v>
      </c>
      <c r="D20" s="596">
        <v>0</v>
      </c>
      <c r="E20" s="597">
        <v>0</v>
      </c>
      <c r="F20" s="597">
        <v>0</v>
      </c>
      <c r="G20" s="597">
        <v>0</v>
      </c>
      <c r="H20" s="597">
        <v>0</v>
      </c>
      <c r="I20" s="597">
        <v>0</v>
      </c>
      <c r="J20" s="597"/>
      <c r="K20" s="607"/>
    </row>
    <row r="21" spans="1:11" s="2" customFormat="1">
      <c r="A21" s="3">
        <v>2</v>
      </c>
      <c r="B21" s="875" t="s">
        <v>582</v>
      </c>
      <c r="C21" s="152" t="s">
        <v>128</v>
      </c>
      <c r="D21" s="598">
        <v>0</v>
      </c>
      <c r="E21" s="599">
        <v>0</v>
      </c>
      <c r="F21" s="599">
        <v>0</v>
      </c>
      <c r="G21" s="599">
        <v>0</v>
      </c>
      <c r="H21" s="599">
        <v>0</v>
      </c>
      <c r="I21" s="599">
        <v>0</v>
      </c>
      <c r="J21" s="599"/>
      <c r="K21" s="608"/>
    </row>
    <row r="22" spans="1:11" s="2" customFormat="1">
      <c r="A22" s="3">
        <v>3</v>
      </c>
      <c r="B22" s="875" t="s">
        <v>582</v>
      </c>
      <c r="C22" s="152" t="s">
        <v>128</v>
      </c>
      <c r="D22" s="598">
        <v>0</v>
      </c>
      <c r="E22" s="599">
        <v>0</v>
      </c>
      <c r="F22" s="599">
        <v>0</v>
      </c>
      <c r="G22" s="599">
        <v>0</v>
      </c>
      <c r="H22" s="599">
        <v>0</v>
      </c>
      <c r="I22" s="599">
        <v>0</v>
      </c>
      <c r="J22" s="599"/>
      <c r="K22" s="608"/>
    </row>
    <row r="23" spans="1:11" s="2" customFormat="1">
      <c r="B23" s="12" t="s">
        <v>166</v>
      </c>
      <c r="C23" s="152" t="s">
        <v>128</v>
      </c>
      <c r="D23" s="612">
        <f>SUM(D18:D22)</f>
        <v>285.15745806232781</v>
      </c>
      <c r="E23" s="613">
        <f t="shared" ref="E23:K23" si="2">SUM(E18:E22)</f>
        <v>291.02092066000012</v>
      </c>
      <c r="F23" s="613">
        <f t="shared" si="2"/>
        <v>289.75238925999986</v>
      </c>
      <c r="G23" s="613">
        <f t="shared" si="2"/>
        <v>335.3</v>
      </c>
      <c r="H23" s="613">
        <f t="shared" si="2"/>
        <v>328.88108651999994</v>
      </c>
      <c r="I23" s="613">
        <f t="shared" si="2"/>
        <v>326.28108651999992</v>
      </c>
      <c r="J23" s="613">
        <f t="shared" si="2"/>
        <v>0</v>
      </c>
      <c r="K23" s="614">
        <f t="shared" si="2"/>
        <v>0</v>
      </c>
    </row>
    <row r="24" spans="1:11" s="2" customFormat="1">
      <c r="C24" s="136"/>
      <c r="D24" s="52"/>
      <c r="E24" s="52"/>
      <c r="F24" s="52"/>
      <c r="G24" s="52"/>
      <c r="H24" s="52"/>
      <c r="I24" s="52"/>
      <c r="J24" s="52"/>
      <c r="K24" s="52"/>
    </row>
    <row r="25" spans="1:11" s="2" customFormat="1">
      <c r="B25" s="12" t="s">
        <v>431</v>
      </c>
      <c r="C25" s="152" t="s">
        <v>128</v>
      </c>
      <c r="D25" s="54"/>
    </row>
    <row r="26" spans="1:11" s="2" customFormat="1">
      <c r="A26" s="3">
        <v>1</v>
      </c>
      <c r="B26" s="521" t="s">
        <v>594</v>
      </c>
      <c r="C26" s="152" t="s">
        <v>128</v>
      </c>
      <c r="D26" s="596">
        <v>-2.1693392996000003</v>
      </c>
      <c r="E26" s="597">
        <v>0.12961291999999999</v>
      </c>
      <c r="F26" s="597">
        <v>0.29642393000000006</v>
      </c>
      <c r="G26" s="597">
        <v>-0.56750780000000001</v>
      </c>
      <c r="H26" s="597">
        <v>0.11007084999999997</v>
      </c>
      <c r="I26" s="597">
        <v>0.14478154000000001</v>
      </c>
      <c r="J26" s="597"/>
      <c r="K26" s="607"/>
    </row>
    <row r="27" spans="1:11" s="2" customFormat="1">
      <c r="A27" s="3">
        <v>2</v>
      </c>
      <c r="B27" s="521" t="s">
        <v>595</v>
      </c>
      <c r="C27" s="152" t="s">
        <v>128</v>
      </c>
      <c r="D27" s="598">
        <v>-2.8301274599999995</v>
      </c>
      <c r="E27" s="599">
        <v>-2.8755542799999998</v>
      </c>
      <c r="F27" s="599">
        <v>-3.6864828443302939</v>
      </c>
      <c r="G27" s="599">
        <v>-5.623181646579356</v>
      </c>
      <c r="H27" s="599">
        <v>-8.6763299545670804</v>
      </c>
      <c r="I27" s="599">
        <v>-4.9209196554256556</v>
      </c>
      <c r="J27" s="599"/>
      <c r="K27" s="608"/>
    </row>
    <row r="28" spans="1:11" s="2" customFormat="1">
      <c r="A28" s="3">
        <v>3</v>
      </c>
      <c r="B28" s="521" t="s">
        <v>596</v>
      </c>
      <c r="C28" s="152" t="s">
        <v>128</v>
      </c>
      <c r="D28" s="598">
        <v>7.694515329999998</v>
      </c>
      <c r="E28" s="599">
        <v>8.8860069481013024</v>
      </c>
      <c r="F28" s="599">
        <v>8.1707140000002685</v>
      </c>
      <c r="G28" s="599">
        <v>4.9907813274971868</v>
      </c>
      <c r="H28" s="599">
        <v>3.7480748571929539</v>
      </c>
      <c r="I28" s="599">
        <v>8.1326536047148483</v>
      </c>
      <c r="J28" s="599"/>
      <c r="K28" s="608"/>
    </row>
    <row r="29" spans="1:11" s="2" customFormat="1">
      <c r="A29" s="3">
        <v>4</v>
      </c>
      <c r="B29" s="521" t="s">
        <v>597</v>
      </c>
      <c r="C29" s="152" t="s">
        <v>128</v>
      </c>
      <c r="D29" s="598">
        <v>-3.3135392642452537</v>
      </c>
      <c r="E29" s="599">
        <v>-1.1725447734435457</v>
      </c>
      <c r="F29" s="599">
        <v>-6.6977438544225318</v>
      </c>
      <c r="G29" s="599">
        <v>0</v>
      </c>
      <c r="H29" s="599">
        <v>0</v>
      </c>
      <c r="I29" s="599">
        <v>0</v>
      </c>
      <c r="J29" s="599"/>
      <c r="K29" s="608"/>
    </row>
    <row r="30" spans="1:11" s="2" customFormat="1">
      <c r="A30" s="3">
        <v>5</v>
      </c>
      <c r="B30" s="521" t="s">
        <v>598</v>
      </c>
      <c r="C30" s="152" t="s">
        <v>128</v>
      </c>
      <c r="D30" s="598">
        <v>8.5614999999999997E-2</v>
      </c>
      <c r="E30" s="599">
        <v>5.4679999999999999E-2</v>
      </c>
      <c r="F30" s="599">
        <v>0.11409000000000001</v>
      </c>
      <c r="G30" s="599">
        <v>0</v>
      </c>
      <c r="H30" s="599">
        <v>0</v>
      </c>
      <c r="I30" s="599">
        <v>0</v>
      </c>
      <c r="J30" s="599"/>
      <c r="K30" s="608"/>
    </row>
    <row r="31" spans="1:11" s="2" customFormat="1">
      <c r="A31" s="3">
        <v>6</v>
      </c>
      <c r="B31" s="521" t="s">
        <v>599</v>
      </c>
      <c r="C31" s="152" t="s">
        <v>128</v>
      </c>
      <c r="D31" s="598">
        <v>7.1106316869611357</v>
      </c>
      <c r="E31" s="599">
        <v>9.1652695511682243</v>
      </c>
      <c r="F31" s="599">
        <v>7.324212366711925</v>
      </c>
      <c r="G31" s="599">
        <v>3.0675014520771655</v>
      </c>
      <c r="H31" s="599">
        <v>1.8091533410534149</v>
      </c>
      <c r="I31" s="599">
        <v>2.3851786991026289</v>
      </c>
      <c r="J31" s="599"/>
      <c r="K31" s="608"/>
    </row>
    <row r="32" spans="1:11" s="2" customFormat="1">
      <c r="A32" s="3">
        <v>7</v>
      </c>
      <c r="B32" s="521" t="s">
        <v>600</v>
      </c>
      <c r="C32" s="152" t="s">
        <v>128</v>
      </c>
      <c r="D32" s="598">
        <v>27.46</v>
      </c>
      <c r="E32" s="599">
        <v>34.084823744341811</v>
      </c>
      <c r="F32" s="599">
        <v>25.605000000689422</v>
      </c>
      <c r="G32" s="599">
        <v>26.603595000716304</v>
      </c>
      <c r="H32" s="599">
        <v>28.406415083682628</v>
      </c>
      <c r="I32" s="599">
        <v>26.248555046159851</v>
      </c>
      <c r="J32" s="599"/>
      <c r="K32" s="608"/>
    </row>
    <row r="33" spans="1:11" s="2" customFormat="1">
      <c r="A33" s="3">
        <v>8</v>
      </c>
      <c r="B33" s="521" t="s">
        <v>601</v>
      </c>
      <c r="C33" s="152" t="s">
        <v>128</v>
      </c>
      <c r="D33" s="598">
        <v>-1.4432899320127035E-15</v>
      </c>
      <c r="E33" s="599">
        <v>0.45131329961449729</v>
      </c>
      <c r="F33" s="599">
        <v>0.75692776321565081</v>
      </c>
      <c r="G33" s="599">
        <v>0.24755320999999986</v>
      </c>
      <c r="H33" s="599">
        <v>-0.11575951999999338</v>
      </c>
      <c r="I33" s="599">
        <v>-0.70825634000000004</v>
      </c>
      <c r="J33" s="599"/>
      <c r="K33" s="608"/>
    </row>
    <row r="34" spans="1:11" s="2" customFormat="1">
      <c r="A34" s="3">
        <v>9</v>
      </c>
      <c r="B34" s="521" t="s">
        <v>602</v>
      </c>
      <c r="C34" s="152" t="s">
        <v>128</v>
      </c>
      <c r="D34" s="598">
        <v>0</v>
      </c>
      <c r="E34" s="599">
        <v>0</v>
      </c>
      <c r="F34" s="599">
        <v>0</v>
      </c>
      <c r="G34" s="599">
        <v>-2.86498835</v>
      </c>
      <c r="H34" s="599">
        <v>-1.4773433599999999</v>
      </c>
      <c r="I34" s="599">
        <v>-5.4526209999999964E-2</v>
      </c>
      <c r="J34" s="599"/>
      <c r="K34" s="608"/>
    </row>
    <row r="35" spans="1:11" s="2" customFormat="1">
      <c r="A35" s="3">
        <v>10</v>
      </c>
      <c r="B35" s="521" t="s">
        <v>603</v>
      </c>
      <c r="C35" s="152" t="s">
        <v>128</v>
      </c>
      <c r="D35" s="598">
        <v>0</v>
      </c>
      <c r="E35" s="599">
        <v>0</v>
      </c>
      <c r="F35" s="599">
        <v>0</v>
      </c>
      <c r="G35" s="599">
        <v>-0.52</v>
      </c>
      <c r="H35" s="599">
        <v>-1.14711026</v>
      </c>
      <c r="I35" s="599">
        <v>-0.54328495999999993</v>
      </c>
      <c r="J35" s="599"/>
      <c r="K35" s="608"/>
    </row>
    <row r="36" spans="1:11" s="2" customFormat="1">
      <c r="A36" s="3">
        <v>11</v>
      </c>
      <c r="B36" s="521" t="s">
        <v>604</v>
      </c>
      <c r="C36" s="152" t="s">
        <v>128</v>
      </c>
      <c r="D36" s="598">
        <v>0</v>
      </c>
      <c r="E36" s="599">
        <v>0</v>
      </c>
      <c r="F36" s="599">
        <v>0</v>
      </c>
      <c r="G36" s="599">
        <v>0</v>
      </c>
      <c r="H36" s="599">
        <v>3.2863082100000005</v>
      </c>
      <c r="I36" s="599">
        <v>1.341037659394348</v>
      </c>
      <c r="J36" s="599"/>
      <c r="K36" s="608"/>
    </row>
    <row r="37" spans="1:11" s="2" customFormat="1">
      <c r="A37" s="3">
        <v>12</v>
      </c>
      <c r="B37" s="521" t="s">
        <v>582</v>
      </c>
      <c r="C37" s="152" t="s">
        <v>128</v>
      </c>
      <c r="D37" s="598">
        <v>0</v>
      </c>
      <c r="E37" s="599">
        <v>0</v>
      </c>
      <c r="F37" s="599">
        <v>0</v>
      </c>
      <c r="G37" s="599">
        <v>0</v>
      </c>
      <c r="H37" s="599">
        <v>0</v>
      </c>
      <c r="I37" s="599">
        <v>0</v>
      </c>
      <c r="J37" s="599"/>
      <c r="K37" s="608"/>
    </row>
    <row r="38" spans="1:11" s="2" customFormat="1">
      <c r="A38" s="3">
        <v>13</v>
      </c>
      <c r="B38" s="521" t="s">
        <v>582</v>
      </c>
      <c r="C38" s="152" t="s">
        <v>128</v>
      </c>
      <c r="D38" s="598">
        <v>0</v>
      </c>
      <c r="E38" s="599">
        <v>0</v>
      </c>
      <c r="F38" s="599">
        <v>0</v>
      </c>
      <c r="G38" s="599">
        <v>0</v>
      </c>
      <c r="H38" s="599">
        <v>0</v>
      </c>
      <c r="I38" s="599">
        <v>0</v>
      </c>
      <c r="J38" s="599"/>
      <c r="K38" s="608"/>
    </row>
    <row r="39" spans="1:11" s="2" customFormat="1">
      <c r="A39" s="3">
        <v>14</v>
      </c>
      <c r="B39" s="521" t="s">
        <v>582</v>
      </c>
      <c r="C39" s="152" t="s">
        <v>128</v>
      </c>
      <c r="D39" s="598">
        <v>0</v>
      </c>
      <c r="E39" s="599">
        <v>0</v>
      </c>
      <c r="F39" s="599">
        <v>0</v>
      </c>
      <c r="G39" s="599">
        <v>0</v>
      </c>
      <c r="H39" s="599">
        <v>0</v>
      </c>
      <c r="I39" s="599">
        <v>0</v>
      </c>
      <c r="J39" s="599"/>
      <c r="K39" s="608"/>
    </row>
    <row r="40" spans="1:11" s="2" customFormat="1">
      <c r="A40" s="3">
        <v>15</v>
      </c>
      <c r="B40" s="521" t="s">
        <v>582</v>
      </c>
      <c r="C40" s="152" t="s">
        <v>128</v>
      </c>
      <c r="D40" s="598">
        <v>0</v>
      </c>
      <c r="E40" s="599">
        <v>0</v>
      </c>
      <c r="F40" s="599">
        <v>0</v>
      </c>
      <c r="G40" s="599">
        <v>0</v>
      </c>
      <c r="H40" s="599">
        <v>0</v>
      </c>
      <c r="I40" s="599">
        <v>0</v>
      </c>
      <c r="J40" s="599"/>
      <c r="K40" s="608"/>
    </row>
    <row r="41" spans="1:11" s="2" customFormat="1">
      <c r="A41" s="3">
        <v>16</v>
      </c>
      <c r="B41" s="521" t="s">
        <v>582</v>
      </c>
      <c r="C41" s="152" t="s">
        <v>128</v>
      </c>
      <c r="D41" s="598">
        <v>0</v>
      </c>
      <c r="E41" s="599">
        <v>0</v>
      </c>
      <c r="F41" s="599">
        <v>0</v>
      </c>
      <c r="G41" s="599">
        <v>0</v>
      </c>
      <c r="H41" s="599">
        <v>0</v>
      </c>
      <c r="I41" s="599">
        <v>0</v>
      </c>
      <c r="J41" s="599"/>
      <c r="K41" s="608"/>
    </row>
    <row r="42" spans="1:11" s="2" customFormat="1">
      <c r="A42" s="3">
        <v>17</v>
      </c>
      <c r="B42" s="521" t="s">
        <v>582</v>
      </c>
      <c r="C42" s="152" t="s">
        <v>128</v>
      </c>
      <c r="D42" s="598">
        <v>0</v>
      </c>
      <c r="E42" s="599">
        <v>0</v>
      </c>
      <c r="F42" s="599">
        <v>0</v>
      </c>
      <c r="G42" s="599">
        <v>0</v>
      </c>
      <c r="H42" s="599">
        <v>0</v>
      </c>
      <c r="I42" s="599">
        <v>0</v>
      </c>
      <c r="J42" s="599"/>
      <c r="K42" s="608"/>
    </row>
    <row r="43" spans="1:11" s="2" customFormat="1">
      <c r="A43" s="3">
        <v>18</v>
      </c>
      <c r="B43" s="521" t="s">
        <v>582</v>
      </c>
      <c r="C43" s="152" t="s">
        <v>128</v>
      </c>
      <c r="D43" s="598">
        <v>0</v>
      </c>
      <c r="E43" s="599">
        <v>0</v>
      </c>
      <c r="F43" s="599">
        <v>0</v>
      </c>
      <c r="G43" s="599">
        <v>0</v>
      </c>
      <c r="H43" s="599">
        <v>0</v>
      </c>
      <c r="I43" s="599">
        <v>0</v>
      </c>
      <c r="J43" s="599"/>
      <c r="K43" s="608"/>
    </row>
    <row r="44" spans="1:11" s="2" customFormat="1">
      <c r="A44" s="3">
        <v>19</v>
      </c>
      <c r="B44" s="521" t="s">
        <v>582</v>
      </c>
      <c r="C44" s="152" t="s">
        <v>128</v>
      </c>
      <c r="D44" s="598">
        <v>0</v>
      </c>
      <c r="E44" s="599">
        <v>0</v>
      </c>
      <c r="F44" s="599">
        <v>0</v>
      </c>
      <c r="G44" s="599">
        <v>0</v>
      </c>
      <c r="H44" s="599">
        <v>0</v>
      </c>
      <c r="I44" s="599">
        <v>0</v>
      </c>
      <c r="J44" s="599"/>
      <c r="K44" s="608"/>
    </row>
    <row r="45" spans="1:11" s="2" customFormat="1">
      <c r="A45" s="3">
        <v>20</v>
      </c>
      <c r="B45" s="521" t="s">
        <v>582</v>
      </c>
      <c r="C45" s="152" t="s">
        <v>128</v>
      </c>
      <c r="D45" s="598">
        <v>0</v>
      </c>
      <c r="E45" s="599">
        <v>0</v>
      </c>
      <c r="F45" s="599">
        <v>0</v>
      </c>
      <c r="G45" s="599">
        <v>0</v>
      </c>
      <c r="H45" s="599">
        <v>0</v>
      </c>
      <c r="I45" s="599">
        <v>0</v>
      </c>
      <c r="J45" s="599"/>
      <c r="K45" s="608"/>
    </row>
    <row r="46" spans="1:11" s="2" customFormat="1">
      <c r="B46" s="12" t="s">
        <v>384</v>
      </c>
      <c r="C46" s="152" t="s">
        <v>128</v>
      </c>
      <c r="D46" s="612">
        <f>SUM(D26:D45)</f>
        <v>34.03775599311588</v>
      </c>
      <c r="E46" s="613">
        <f t="shared" ref="E46:K46" si="3">SUM(E26:E45)</f>
        <v>48.723607409782289</v>
      </c>
      <c r="F46" s="613">
        <f t="shared" si="3"/>
        <v>31.883141361864439</v>
      </c>
      <c r="G46" s="613">
        <f t="shared" si="3"/>
        <v>25.333753193711299</v>
      </c>
      <c r="H46" s="613">
        <f t="shared" si="3"/>
        <v>25.943479247361921</v>
      </c>
      <c r="I46" s="613">
        <f t="shared" si="3"/>
        <v>32.025219383946023</v>
      </c>
      <c r="J46" s="613">
        <f t="shared" si="3"/>
        <v>0</v>
      </c>
      <c r="K46" s="614">
        <f t="shared" si="3"/>
        <v>0</v>
      </c>
    </row>
    <row r="47" spans="1:11" s="2" customFormat="1">
      <c r="C47" s="136"/>
      <c r="D47" s="53"/>
      <c r="E47" s="52"/>
      <c r="F47" s="52"/>
      <c r="G47" s="52"/>
      <c r="H47" s="52"/>
      <c r="I47" s="52"/>
      <c r="J47" s="52"/>
      <c r="K47" s="52"/>
    </row>
    <row r="48" spans="1:11" s="2" customFormat="1">
      <c r="B48" s="12" t="s">
        <v>430</v>
      </c>
      <c r="C48" s="152" t="s">
        <v>128</v>
      </c>
      <c r="D48" s="612">
        <f>D46+D23</f>
        <v>319.19521405544367</v>
      </c>
      <c r="E48" s="613">
        <f t="shared" ref="E48:K48" si="4">E46+E23</f>
        <v>339.7445280697824</v>
      </c>
      <c r="F48" s="613">
        <f t="shared" si="4"/>
        <v>321.63553062186429</v>
      </c>
      <c r="G48" s="613">
        <f t="shared" si="4"/>
        <v>360.6337531937113</v>
      </c>
      <c r="H48" s="613">
        <f t="shared" si="4"/>
        <v>354.82456576736183</v>
      </c>
      <c r="I48" s="613">
        <f t="shared" si="4"/>
        <v>358.30630590394594</v>
      </c>
      <c r="J48" s="613">
        <f t="shared" si="4"/>
        <v>0</v>
      </c>
      <c r="K48" s="614">
        <f t="shared" si="4"/>
        <v>0</v>
      </c>
    </row>
    <row r="49" spans="1:11" s="2" customFormat="1">
      <c r="B49" s="2" t="s">
        <v>385</v>
      </c>
      <c r="C49" s="152" t="s">
        <v>128</v>
      </c>
      <c r="D49" s="596">
        <v>319.29835309183761</v>
      </c>
      <c r="E49" s="597">
        <v>339.7445280697824</v>
      </c>
      <c r="F49" s="597">
        <v>321.63739169868313</v>
      </c>
      <c r="G49" s="597">
        <v>360.6337531937113</v>
      </c>
      <c r="H49" s="597">
        <v>354.82456576736183</v>
      </c>
      <c r="I49" s="597">
        <v>358.306305903946</v>
      </c>
      <c r="J49" s="597"/>
      <c r="K49" s="607"/>
    </row>
    <row r="50" spans="1:11" s="2" customFormat="1">
      <c r="C50" s="136" t="s">
        <v>388</v>
      </c>
      <c r="D50" s="643" t="str">
        <f>IF(D$5="Actuals",IF(ABS(D48-D49)&lt;1,"OK","ERROR"),"N/A")</f>
        <v>OK</v>
      </c>
      <c r="E50" s="644" t="str">
        <f t="shared" ref="E50:K50" si="5">IF(E$5="Actuals",IF(ABS(E48-E49)&lt;1,"OK","ERROR"),"N/A")</f>
        <v>OK</v>
      </c>
      <c r="F50" s="644" t="str">
        <f t="shared" si="5"/>
        <v>OK</v>
      </c>
      <c r="G50" s="644" t="str">
        <f t="shared" si="5"/>
        <v>OK</v>
      </c>
      <c r="H50" s="644" t="str">
        <f t="shared" si="5"/>
        <v>OK</v>
      </c>
      <c r="I50" s="644" t="str">
        <f t="shared" si="5"/>
        <v>OK</v>
      </c>
      <c r="J50" s="644" t="str">
        <f t="shared" si="5"/>
        <v>N/A</v>
      </c>
      <c r="K50" s="645" t="str">
        <f t="shared" si="5"/>
        <v>N/A</v>
      </c>
    </row>
    <row r="51" spans="1:11" s="2" customFormat="1">
      <c r="B51" s="2" t="s">
        <v>84</v>
      </c>
      <c r="C51" s="136"/>
      <c r="D51" s="54"/>
    </row>
    <row r="52" spans="1:11" s="2" customFormat="1">
      <c r="B52" s="12" t="s">
        <v>386</v>
      </c>
      <c r="C52" s="152"/>
      <c r="D52" s="54"/>
    </row>
    <row r="53" spans="1:11" s="2" customFormat="1">
      <c r="A53" s="3">
        <v>1</v>
      </c>
      <c r="B53" s="520" t="s">
        <v>605</v>
      </c>
      <c r="C53" s="152" t="s">
        <v>128</v>
      </c>
      <c r="D53" s="596">
        <v>68.560555509434437</v>
      </c>
      <c r="E53" s="597">
        <v>71.343272718838861</v>
      </c>
      <c r="F53" s="597">
        <v>63.605079118283989</v>
      </c>
      <c r="G53" s="597">
        <v>65.83908766405159</v>
      </c>
      <c r="H53" s="597">
        <v>74.884408714591842</v>
      </c>
      <c r="I53" s="597">
        <v>72.505015652733562</v>
      </c>
      <c r="J53" s="597"/>
      <c r="K53" s="607"/>
    </row>
    <row r="54" spans="1:11" s="2" customFormat="1">
      <c r="A54" s="3">
        <v>2</v>
      </c>
      <c r="B54" s="520" t="s">
        <v>606</v>
      </c>
      <c r="C54" s="152" t="s">
        <v>128</v>
      </c>
      <c r="D54" s="598">
        <v>26.247193660000001</v>
      </c>
      <c r="E54" s="599">
        <v>27.271970059704106</v>
      </c>
      <c r="F54" s="599">
        <v>22.242841974874175</v>
      </c>
      <c r="G54" s="599">
        <v>25.14352862497427</v>
      </c>
      <c r="H54" s="599">
        <v>24.13986271520843</v>
      </c>
      <c r="I54" s="599">
        <v>21.929800362860764</v>
      </c>
      <c r="J54" s="599"/>
      <c r="K54" s="608"/>
    </row>
    <row r="55" spans="1:11" s="2" customFormat="1">
      <c r="A55" s="3">
        <v>3</v>
      </c>
      <c r="B55" s="520" t="s">
        <v>607</v>
      </c>
      <c r="C55" s="152" t="s">
        <v>128</v>
      </c>
      <c r="D55" s="598">
        <v>19.277884390901413</v>
      </c>
      <c r="E55" s="599">
        <v>17.537122043015753</v>
      </c>
      <c r="F55" s="599">
        <v>1.3677701404076199</v>
      </c>
      <c r="G55" s="599">
        <v>10.209268919999973</v>
      </c>
      <c r="H55" s="599">
        <v>-0.16585583000002468</v>
      </c>
      <c r="I55" s="599">
        <v>9.0810968255999995</v>
      </c>
      <c r="J55" s="599"/>
      <c r="K55" s="608"/>
    </row>
    <row r="56" spans="1:11" s="2" customFormat="1">
      <c r="A56" s="3">
        <v>4</v>
      </c>
      <c r="B56" s="520" t="s">
        <v>608</v>
      </c>
      <c r="C56" s="152" t="s">
        <v>128</v>
      </c>
      <c r="D56" s="598">
        <v>7.4095865390339739</v>
      </c>
      <c r="E56" s="599">
        <v>7.9328455351655318</v>
      </c>
      <c r="F56" s="599">
        <v>6.6774568303974444</v>
      </c>
      <c r="G56" s="599">
        <v>1.14842796</v>
      </c>
      <c r="H56" s="599">
        <v>1.2293546900000001</v>
      </c>
      <c r="I56" s="599">
        <v>1.14794829</v>
      </c>
      <c r="J56" s="599"/>
      <c r="K56" s="608"/>
    </row>
    <row r="57" spans="1:11" s="2" customFormat="1">
      <c r="A57" s="3">
        <v>5</v>
      </c>
      <c r="B57" s="520" t="s">
        <v>609</v>
      </c>
      <c r="C57" s="152" t="s">
        <v>128</v>
      </c>
      <c r="D57" s="598">
        <v>3.5863360350865836</v>
      </c>
      <c r="E57" s="599">
        <v>2.1804868840714704</v>
      </c>
      <c r="F57" s="599">
        <v>2.1357457854351294</v>
      </c>
      <c r="G57" s="599">
        <v>2.1260567844522504</v>
      </c>
      <c r="H57" s="599">
        <v>1.7788590840169085</v>
      </c>
      <c r="I57" s="599">
        <v>2.4320443905956717</v>
      </c>
      <c r="J57" s="599"/>
      <c r="K57" s="608"/>
    </row>
    <row r="58" spans="1:11" s="2" customFormat="1">
      <c r="A58" s="3">
        <v>6</v>
      </c>
      <c r="B58" s="520" t="s">
        <v>610</v>
      </c>
      <c r="C58" s="152" t="s">
        <v>128</v>
      </c>
      <c r="D58" s="598">
        <v>0.25398512000000001</v>
      </c>
      <c r="E58" s="599">
        <v>0.17094779000000002</v>
      </c>
      <c r="F58" s="599">
        <v>0.31744863999999995</v>
      </c>
      <c r="G58" s="599">
        <v>0.21099999999999999</v>
      </c>
      <c r="H58" s="599">
        <v>0.33642785999999425</v>
      </c>
      <c r="I58" s="599">
        <v>1.0089554099999987</v>
      </c>
      <c r="J58" s="599"/>
      <c r="K58" s="608"/>
    </row>
    <row r="59" spans="1:11" s="2" customFormat="1">
      <c r="A59" s="3">
        <v>7</v>
      </c>
      <c r="B59" s="520" t="s">
        <v>611</v>
      </c>
      <c r="C59" s="152" t="s">
        <v>128</v>
      </c>
      <c r="D59" s="598">
        <v>0.79262246999999997</v>
      </c>
      <c r="E59" s="599">
        <v>0.77397466000000004</v>
      </c>
      <c r="F59" s="599">
        <v>0.81149777999999995</v>
      </c>
      <c r="G59" s="599">
        <v>0.77443012</v>
      </c>
      <c r="H59" s="599">
        <v>0.88164679000000001</v>
      </c>
      <c r="I59" s="599">
        <v>0.5568885400000001</v>
      </c>
      <c r="J59" s="599"/>
      <c r="K59" s="608"/>
    </row>
    <row r="60" spans="1:11" s="2" customFormat="1">
      <c r="A60" s="3">
        <v>8</v>
      </c>
      <c r="B60" s="520" t="s">
        <v>582</v>
      </c>
      <c r="C60" s="152" t="s">
        <v>128</v>
      </c>
      <c r="D60" s="598">
        <v>0</v>
      </c>
      <c r="E60" s="599">
        <v>0</v>
      </c>
      <c r="F60" s="599">
        <v>0</v>
      </c>
      <c r="G60" s="599">
        <v>0</v>
      </c>
      <c r="H60" s="599">
        <v>0</v>
      </c>
      <c r="I60" s="599">
        <v>0</v>
      </c>
      <c r="J60" s="599"/>
      <c r="K60" s="608"/>
    </row>
    <row r="61" spans="1:11" s="2" customFormat="1">
      <c r="A61" s="3">
        <v>9</v>
      </c>
      <c r="B61" s="520" t="s">
        <v>582</v>
      </c>
      <c r="C61" s="152" t="s">
        <v>128</v>
      </c>
      <c r="D61" s="598">
        <v>0</v>
      </c>
      <c r="E61" s="599">
        <v>0</v>
      </c>
      <c r="F61" s="599">
        <v>0</v>
      </c>
      <c r="G61" s="599">
        <v>0</v>
      </c>
      <c r="H61" s="599">
        <v>0</v>
      </c>
      <c r="I61" s="599">
        <v>0</v>
      </c>
      <c r="J61" s="599"/>
      <c r="K61" s="608"/>
    </row>
    <row r="62" spans="1:11" s="2" customFormat="1">
      <c r="A62" s="3">
        <v>10</v>
      </c>
      <c r="B62" s="520" t="s">
        <v>582</v>
      </c>
      <c r="C62" s="152" t="s">
        <v>128</v>
      </c>
      <c r="D62" s="598">
        <v>0</v>
      </c>
      <c r="E62" s="599">
        <v>0</v>
      </c>
      <c r="F62" s="599">
        <v>0</v>
      </c>
      <c r="G62" s="599">
        <v>0</v>
      </c>
      <c r="H62" s="599">
        <v>0</v>
      </c>
      <c r="I62" s="599">
        <v>0</v>
      </c>
      <c r="J62" s="599"/>
      <c r="K62" s="608"/>
    </row>
    <row r="63" spans="1:11" s="2" customFormat="1">
      <c r="A63" s="3">
        <v>11</v>
      </c>
      <c r="B63" s="520" t="s">
        <v>582</v>
      </c>
      <c r="C63" s="152" t="s">
        <v>128</v>
      </c>
      <c r="D63" s="598">
        <v>0</v>
      </c>
      <c r="E63" s="599">
        <v>0</v>
      </c>
      <c r="F63" s="599">
        <v>0</v>
      </c>
      <c r="G63" s="599">
        <v>0</v>
      </c>
      <c r="H63" s="599">
        <v>0</v>
      </c>
      <c r="I63" s="599">
        <v>0</v>
      </c>
      <c r="J63" s="599"/>
      <c r="K63" s="608"/>
    </row>
    <row r="64" spans="1:11" s="2" customFormat="1">
      <c r="A64" s="3">
        <v>12</v>
      </c>
      <c r="B64" s="520" t="s">
        <v>582</v>
      </c>
      <c r="C64" s="152" t="s">
        <v>128</v>
      </c>
      <c r="D64" s="598">
        <v>0</v>
      </c>
      <c r="E64" s="599">
        <v>0</v>
      </c>
      <c r="F64" s="599">
        <v>0</v>
      </c>
      <c r="G64" s="599">
        <v>0</v>
      </c>
      <c r="H64" s="599">
        <v>0</v>
      </c>
      <c r="I64" s="599">
        <v>0</v>
      </c>
      <c r="J64" s="599"/>
      <c r="K64" s="608"/>
    </row>
    <row r="65" spans="1:11" s="2" customFormat="1">
      <c r="A65" s="3">
        <v>13</v>
      </c>
      <c r="B65" s="520" t="s">
        <v>582</v>
      </c>
      <c r="C65" s="152" t="s">
        <v>128</v>
      </c>
      <c r="D65" s="598">
        <v>0</v>
      </c>
      <c r="E65" s="599">
        <v>0</v>
      </c>
      <c r="F65" s="599">
        <v>0</v>
      </c>
      <c r="G65" s="599">
        <v>0</v>
      </c>
      <c r="H65" s="599">
        <v>0</v>
      </c>
      <c r="I65" s="599">
        <v>0</v>
      </c>
      <c r="J65" s="599"/>
      <c r="K65" s="608"/>
    </row>
    <row r="66" spans="1:11" s="2" customFormat="1">
      <c r="A66" s="3">
        <v>14</v>
      </c>
      <c r="B66" s="520" t="s">
        <v>582</v>
      </c>
      <c r="C66" s="152" t="s">
        <v>128</v>
      </c>
      <c r="D66" s="598">
        <v>0</v>
      </c>
      <c r="E66" s="599">
        <v>0</v>
      </c>
      <c r="F66" s="599">
        <v>0</v>
      </c>
      <c r="G66" s="599">
        <v>0</v>
      </c>
      <c r="H66" s="599">
        <v>0</v>
      </c>
      <c r="I66" s="599">
        <v>0</v>
      </c>
      <c r="J66" s="599"/>
      <c r="K66" s="608"/>
    </row>
    <row r="67" spans="1:11" s="2" customFormat="1">
      <c r="A67" s="3">
        <v>15</v>
      </c>
      <c r="B67" s="520" t="s">
        <v>582</v>
      </c>
      <c r="C67" s="152" t="s">
        <v>128</v>
      </c>
      <c r="D67" s="598">
        <v>0</v>
      </c>
      <c r="E67" s="599">
        <v>0</v>
      </c>
      <c r="F67" s="599">
        <v>0</v>
      </c>
      <c r="G67" s="599">
        <v>0</v>
      </c>
      <c r="H67" s="599">
        <v>0</v>
      </c>
      <c r="I67" s="599">
        <v>0</v>
      </c>
      <c r="J67" s="599"/>
      <c r="K67" s="608"/>
    </row>
    <row r="68" spans="1:11" s="2" customFormat="1">
      <c r="A68" s="3">
        <v>16</v>
      </c>
      <c r="B68" s="520" t="s">
        <v>582</v>
      </c>
      <c r="C68" s="152" t="s">
        <v>128</v>
      </c>
      <c r="D68" s="598">
        <v>0</v>
      </c>
      <c r="E68" s="599">
        <v>0</v>
      </c>
      <c r="F68" s="599">
        <v>0</v>
      </c>
      <c r="G68" s="599">
        <v>0</v>
      </c>
      <c r="H68" s="599">
        <v>0</v>
      </c>
      <c r="I68" s="599">
        <v>0</v>
      </c>
      <c r="J68" s="599"/>
      <c r="K68" s="608"/>
    </row>
    <row r="69" spans="1:11" s="2" customFormat="1">
      <c r="A69" s="3">
        <v>17</v>
      </c>
      <c r="B69" s="520" t="s">
        <v>582</v>
      </c>
      <c r="C69" s="152" t="s">
        <v>128</v>
      </c>
      <c r="D69" s="598">
        <v>0</v>
      </c>
      <c r="E69" s="599">
        <v>0</v>
      </c>
      <c r="F69" s="599">
        <v>0</v>
      </c>
      <c r="G69" s="599">
        <v>0</v>
      </c>
      <c r="H69" s="599">
        <v>0</v>
      </c>
      <c r="I69" s="599">
        <v>0</v>
      </c>
      <c r="J69" s="599"/>
      <c r="K69" s="608"/>
    </row>
    <row r="70" spans="1:11" s="2" customFormat="1">
      <c r="A70" s="3">
        <v>18</v>
      </c>
      <c r="B70" s="520" t="s">
        <v>582</v>
      </c>
      <c r="C70" s="152" t="s">
        <v>128</v>
      </c>
      <c r="D70" s="598">
        <v>0</v>
      </c>
      <c r="E70" s="599">
        <v>0</v>
      </c>
      <c r="F70" s="599">
        <v>0</v>
      </c>
      <c r="G70" s="599">
        <v>0</v>
      </c>
      <c r="H70" s="599">
        <v>0</v>
      </c>
      <c r="I70" s="599">
        <v>0</v>
      </c>
      <c r="J70" s="599"/>
      <c r="K70" s="608"/>
    </row>
    <row r="71" spans="1:11" s="2" customFormat="1">
      <c r="A71" s="3">
        <v>19</v>
      </c>
      <c r="B71" s="520" t="s">
        <v>582</v>
      </c>
      <c r="C71" s="152" t="s">
        <v>128</v>
      </c>
      <c r="D71" s="598">
        <v>0</v>
      </c>
      <c r="E71" s="599">
        <v>0</v>
      </c>
      <c r="F71" s="599">
        <v>0</v>
      </c>
      <c r="G71" s="599">
        <v>0</v>
      </c>
      <c r="H71" s="599">
        <v>0</v>
      </c>
      <c r="I71" s="599">
        <v>0</v>
      </c>
      <c r="J71" s="599"/>
      <c r="K71" s="608"/>
    </row>
    <row r="72" spans="1:11" s="2" customFormat="1">
      <c r="A72" s="3">
        <v>20</v>
      </c>
      <c r="B72" s="520" t="s">
        <v>582</v>
      </c>
      <c r="C72" s="152" t="s">
        <v>128</v>
      </c>
      <c r="D72" s="598">
        <v>0</v>
      </c>
      <c r="E72" s="599">
        <v>0</v>
      </c>
      <c r="F72" s="599">
        <v>0</v>
      </c>
      <c r="G72" s="599">
        <v>0</v>
      </c>
      <c r="H72" s="599">
        <v>0</v>
      </c>
      <c r="I72" s="599">
        <v>0</v>
      </c>
      <c r="J72" s="599"/>
      <c r="K72" s="608"/>
    </row>
    <row r="73" spans="1:11" s="2" customFormat="1">
      <c r="A73" s="3">
        <v>21</v>
      </c>
      <c r="B73" s="520" t="s">
        <v>582</v>
      </c>
      <c r="C73" s="152" t="s">
        <v>128</v>
      </c>
      <c r="D73" s="598">
        <v>0</v>
      </c>
      <c r="E73" s="599">
        <v>0</v>
      </c>
      <c r="F73" s="599">
        <v>0</v>
      </c>
      <c r="G73" s="599">
        <v>0</v>
      </c>
      <c r="H73" s="599">
        <v>0</v>
      </c>
      <c r="I73" s="599">
        <v>0</v>
      </c>
      <c r="J73" s="599"/>
      <c r="K73" s="608"/>
    </row>
    <row r="74" spans="1:11" s="2" customFormat="1">
      <c r="A74" s="3">
        <v>22</v>
      </c>
      <c r="B74" s="520" t="s">
        <v>582</v>
      </c>
      <c r="C74" s="152" t="s">
        <v>128</v>
      </c>
      <c r="D74" s="598">
        <v>0</v>
      </c>
      <c r="E74" s="599">
        <v>0</v>
      </c>
      <c r="F74" s="599">
        <v>0</v>
      </c>
      <c r="G74" s="599">
        <v>0</v>
      </c>
      <c r="H74" s="599">
        <v>0</v>
      </c>
      <c r="I74" s="599">
        <v>0</v>
      </c>
      <c r="J74" s="599"/>
      <c r="K74" s="608"/>
    </row>
    <row r="75" spans="1:11" s="2" customFormat="1">
      <c r="A75" s="3">
        <v>23</v>
      </c>
      <c r="B75" s="520" t="s">
        <v>582</v>
      </c>
      <c r="C75" s="152" t="s">
        <v>128</v>
      </c>
      <c r="D75" s="598">
        <v>0</v>
      </c>
      <c r="E75" s="599">
        <v>0</v>
      </c>
      <c r="F75" s="599">
        <v>0</v>
      </c>
      <c r="G75" s="599">
        <v>0</v>
      </c>
      <c r="H75" s="599">
        <v>0</v>
      </c>
      <c r="I75" s="599">
        <v>0</v>
      </c>
      <c r="J75" s="599"/>
      <c r="K75" s="608"/>
    </row>
    <row r="76" spans="1:11" s="2" customFormat="1">
      <c r="A76" s="3">
        <v>24</v>
      </c>
      <c r="B76" s="520" t="s">
        <v>582</v>
      </c>
      <c r="C76" s="152" t="s">
        <v>128</v>
      </c>
      <c r="D76" s="598">
        <v>0</v>
      </c>
      <c r="E76" s="599">
        <v>0</v>
      </c>
      <c r="F76" s="599">
        <v>0</v>
      </c>
      <c r="G76" s="599">
        <v>0</v>
      </c>
      <c r="H76" s="599">
        <v>0</v>
      </c>
      <c r="I76" s="599">
        <v>0</v>
      </c>
      <c r="J76" s="599"/>
      <c r="K76" s="608"/>
    </row>
    <row r="77" spans="1:11" s="2" customFormat="1">
      <c r="A77" s="3">
        <v>25</v>
      </c>
      <c r="B77" s="520" t="s">
        <v>582</v>
      </c>
      <c r="C77" s="152" t="s">
        <v>128</v>
      </c>
      <c r="D77" s="634">
        <v>0</v>
      </c>
      <c r="E77" s="635">
        <v>0</v>
      </c>
      <c r="F77" s="635">
        <v>0</v>
      </c>
      <c r="G77" s="635">
        <v>0</v>
      </c>
      <c r="H77" s="635">
        <v>0</v>
      </c>
      <c r="I77" s="635">
        <v>0</v>
      </c>
      <c r="J77" s="635"/>
      <c r="K77" s="636"/>
    </row>
    <row r="78" spans="1:11" s="2" customFormat="1">
      <c r="B78" s="12" t="s">
        <v>170</v>
      </c>
      <c r="C78" s="152" t="s">
        <v>128</v>
      </c>
      <c r="D78" s="612">
        <f>SUM(D53:D77)</f>
        <v>126.1281637244564</v>
      </c>
      <c r="E78" s="613">
        <f t="shared" ref="E78:K78" si="6">SUM(E53:E77)</f>
        <v>127.21061969079571</v>
      </c>
      <c r="F78" s="613">
        <f t="shared" si="6"/>
        <v>97.157840269398349</v>
      </c>
      <c r="G78" s="613">
        <f t="shared" si="6"/>
        <v>105.45180007347808</v>
      </c>
      <c r="H78" s="613">
        <f t="shared" si="6"/>
        <v>103.08470402381717</v>
      </c>
      <c r="I78" s="613">
        <f t="shared" si="6"/>
        <v>108.66174947179</v>
      </c>
      <c r="J78" s="613">
        <f t="shared" si="6"/>
        <v>0</v>
      </c>
      <c r="K78" s="614">
        <f t="shared" si="6"/>
        <v>0</v>
      </c>
    </row>
    <row r="79" spans="1:11" s="2" customFormat="1">
      <c r="C79" s="136"/>
      <c r="D79" s="53"/>
      <c r="E79" s="52"/>
      <c r="F79" s="52"/>
      <c r="G79" s="52"/>
      <c r="H79" s="52"/>
      <c r="I79" s="52"/>
      <c r="J79" s="52"/>
      <c r="K79" s="52"/>
    </row>
    <row r="80" spans="1:11" s="2" customFormat="1">
      <c r="B80" s="12" t="s">
        <v>387</v>
      </c>
      <c r="C80" s="152" t="s">
        <v>128</v>
      </c>
      <c r="D80" s="612">
        <f>D48-D78</f>
        <v>193.06705033098729</v>
      </c>
      <c r="E80" s="613">
        <f t="shared" ref="E80:K80" si="7">E48-E78</f>
        <v>212.53390837898669</v>
      </c>
      <c r="F80" s="613">
        <f t="shared" si="7"/>
        <v>224.47769035246594</v>
      </c>
      <c r="G80" s="613">
        <f t="shared" si="7"/>
        <v>255.18195312023323</v>
      </c>
      <c r="H80" s="613">
        <f t="shared" si="7"/>
        <v>251.73986174354468</v>
      </c>
      <c r="I80" s="613">
        <f t="shared" si="7"/>
        <v>249.64455643215592</v>
      </c>
      <c r="J80" s="613">
        <f t="shared" si="7"/>
        <v>0</v>
      </c>
      <c r="K80" s="614">
        <f t="shared" si="7"/>
        <v>0</v>
      </c>
    </row>
    <row r="81" spans="2:11" s="2" customFormat="1">
      <c r="B81" s="12" t="s">
        <v>475</v>
      </c>
      <c r="C81" s="152" t="s">
        <v>128</v>
      </c>
      <c r="D81" s="646">
        <f>'R4 - Totex'!D90+'R4 - Totex'!D118</f>
        <v>192.97072315738123</v>
      </c>
      <c r="E81" s="647">
        <f>'R4 - Totex'!E90+'R4 - Totex'!E118</f>
        <v>212.53390837898672</v>
      </c>
      <c r="F81" s="647">
        <f>'R4 - Totex'!F90+'R4 - Totex'!F118</f>
        <v>224.48655142928473</v>
      </c>
      <c r="G81" s="647">
        <f>'R4 - Totex'!G90+'R4 - Totex'!G118</f>
        <v>255.14579954023313</v>
      </c>
      <c r="H81" s="647">
        <f>'R4 - Totex'!H90+'R4 - Totex'!H118</f>
        <v>251.72428441354469</v>
      </c>
      <c r="I81" s="647">
        <f>'R4 - Totex'!I90+'R4 - Totex'!I118</f>
        <v>249.6442735491265</v>
      </c>
      <c r="J81" s="647">
        <f>'R4 - Totex'!J90+'R4 - Totex'!J118</f>
        <v>236.32304593667459</v>
      </c>
      <c r="K81" s="647">
        <f>'R4 - Totex'!K90+'R4 - Totex'!K118</f>
        <v>241.91921206574079</v>
      </c>
    </row>
    <row r="82" spans="2:11" s="2" customFormat="1">
      <c r="C82" s="136" t="s">
        <v>388</v>
      </c>
      <c r="D82" s="574" t="str">
        <f>IF(D$5="Actuals",IF(ABS(D80-('R4 - Totex'!D90+'R4 - Totex'!D118))&lt;'RFPR cover'!$F$14,"OK","Error"),"N/A")</f>
        <v>OK</v>
      </c>
      <c r="E82" s="574" t="str">
        <f>IF(E$5="Actuals",IF(ABS(E80-('R4 - Totex'!E90+'R4 - Totex'!E118))&lt;'RFPR cover'!$F$14,"OK","Error"),"N/A")</f>
        <v>OK</v>
      </c>
      <c r="F82" s="574" t="str">
        <f>IF(F$5="Actuals",IF(ABS(F80-('R4 - Totex'!F90+'R4 - Totex'!F118))&lt;'RFPR cover'!$F$14,"OK","Error"),"N/A")</f>
        <v>OK</v>
      </c>
      <c r="G82" s="574" t="str">
        <f>IF(G$5="Actuals",IF(ABS(G80-('R4 - Totex'!G90+'R4 - Totex'!G118))&lt;'RFPR cover'!$F$14,"OK","Error"),"N/A")</f>
        <v>OK</v>
      </c>
      <c r="H82" s="574" t="str">
        <f>IF(H$5="Actuals",IF(ABS(H80-('R4 - Totex'!H90+'R4 - Totex'!H118))&lt;'RFPR cover'!$F$14,"OK","Error"),"N/A")</f>
        <v>OK</v>
      </c>
      <c r="I82" s="574" t="str">
        <f>IF(I$5="Actuals",IF(ABS(I80-('R4 - Totex'!I90+'R4 - Totex'!I118))&lt;'RFPR cover'!$F$14,"OK","Error"),"N/A")</f>
        <v>OK</v>
      </c>
      <c r="J82" s="574" t="str">
        <f>IF(J$5="Actuals",IF(ABS(J80-('R4 - Totex'!J90+'R4 - Totex'!J118))&lt;'RFPR cover'!$F$14,"OK","Error"),"N/A")</f>
        <v>N/A</v>
      </c>
      <c r="K82" s="574" t="str">
        <f>IF(K$5="Actuals",IF(ABS(K80-('R4 - Totex'!K90+'R4 - Totex'!K118))&lt;'RFPR cover'!$F$14,"OK","Error"),"N/A")</f>
        <v>N/A</v>
      </c>
    </row>
    <row r="83" spans="2:11" s="2" customFormat="1">
      <c r="C83" s="136"/>
    </row>
    <row r="84" spans="2:11">
      <c r="D84" s="215"/>
      <c r="E84" s="215"/>
      <c r="F84" s="215"/>
      <c r="G84" s="215"/>
      <c r="H84" s="215"/>
      <c r="I84" s="215"/>
      <c r="J84" s="215"/>
      <c r="K84" s="215"/>
    </row>
    <row r="85" spans="2:11">
      <c r="D85" s="215"/>
      <c r="E85" s="215"/>
      <c r="F85" s="215"/>
      <c r="G85" s="215"/>
      <c r="H85" s="215"/>
      <c r="I85" s="215"/>
      <c r="J85" s="215"/>
      <c r="K85" s="215"/>
    </row>
    <row r="86" spans="2:11">
      <c r="D86" s="215"/>
      <c r="E86" s="215"/>
      <c r="F86" s="215"/>
      <c r="G86" s="215"/>
      <c r="H86" s="215"/>
      <c r="I86" s="215"/>
      <c r="J86" s="215"/>
      <c r="K86" s="215"/>
    </row>
  </sheetData>
  <conditionalFormatting sqref="D6:J6">
    <cfRule type="expression" dxfId="54" priority="17">
      <formula>AND(D$5="Actuals",E$5="N/A")</formula>
    </cfRule>
  </conditionalFormatting>
  <conditionalFormatting sqref="D5:K5">
    <cfRule type="expression" dxfId="53" priority="8">
      <formula>AND(D$5="Actuals",E$5="N/A")</formula>
    </cfRule>
  </conditionalFormatting>
  <conditionalFormatting sqref="D9:K14 D26:K46 D48:K50 D53:K78 D80:K80 D82:K82 D18:K19 D23:K23">
    <cfRule type="expression" dxfId="52" priority="3">
      <formula>D$5="N/A"</formula>
    </cfRule>
  </conditionalFormatting>
  <conditionalFormatting sqref="D15:K17">
    <cfRule type="expression" dxfId="51" priority="2">
      <formula>D$5="N/A"</formula>
    </cfRule>
  </conditionalFormatting>
  <conditionalFormatting sqref="D20:K22">
    <cfRule type="expression" dxfId="50" priority="1">
      <formula>D$5="N/A"</formula>
    </cfRule>
  </conditionalFormatting>
  <pageMargins left="0.70866141732283472" right="0.70866141732283472" top="0.74803149606299213" bottom="0.74803149606299213" header="0.31496062992125984" footer="0.31496062992125984"/>
  <pageSetup paperSize="8" scale="66" orientation="landscape" r:id="rId1"/>
  <headerFooter>
    <oddFooter>&amp;C&amp;1#&amp;"Calibri"&amp;12&amp;K008000Internal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80" zoomScaleNormal="80" workbookViewId="0">
      <pane ySplit="6" topLeftCell="A7" activePane="bottomLeft" state="frozen"/>
      <selection activeCell="B75" sqref="A1:XFD1048576"/>
      <selection pane="bottomLeft"/>
    </sheetView>
  </sheetViews>
  <sheetFormatPr defaultColWidth="9.125" defaultRowHeight="12.75"/>
  <cols>
    <col min="1" max="1" width="8.375" style="2" customWidth="1"/>
    <col min="2" max="2" width="75.5" style="129" customWidth="1"/>
    <col min="3" max="3" width="13.375" style="136" customWidth="1"/>
    <col min="4" max="11" width="11.125" style="2" customWidth="1"/>
    <col min="12" max="13" width="12.875" style="2" customWidth="1"/>
    <col min="14" max="14" width="25.5" style="2" customWidth="1"/>
    <col min="15" max="16384" width="9.125" style="2"/>
  </cols>
  <sheetData>
    <row r="1" spans="1:20" s="31" customFormat="1" ht="20.25">
      <c r="A1" s="912" t="s">
        <v>99</v>
      </c>
      <c r="B1" s="934"/>
      <c r="C1" s="278"/>
      <c r="D1" s="256"/>
      <c r="E1" s="256"/>
      <c r="F1" s="256"/>
      <c r="G1" s="256"/>
      <c r="H1" s="256"/>
      <c r="I1" s="257"/>
      <c r="J1" s="257"/>
      <c r="K1" s="258"/>
      <c r="L1" s="258"/>
      <c r="M1" s="258"/>
      <c r="N1" s="258"/>
      <c r="O1" s="364"/>
    </row>
    <row r="2" spans="1:20" s="31" customFormat="1" ht="20.25">
      <c r="A2" s="915" t="str">
        <f>'RFPR cover'!C5</f>
        <v>SPD</v>
      </c>
      <c r="B2" s="928"/>
      <c r="C2" s="134"/>
      <c r="D2" s="29"/>
      <c r="E2" s="29"/>
      <c r="F2" s="29"/>
      <c r="G2" s="29"/>
      <c r="H2" s="29"/>
      <c r="I2" s="27"/>
      <c r="J2" s="27"/>
      <c r="K2" s="27"/>
      <c r="L2" s="27"/>
      <c r="M2" s="27"/>
      <c r="N2" s="27"/>
      <c r="O2" s="123"/>
    </row>
    <row r="3" spans="1:20" s="31" customFormat="1" ht="20.25">
      <c r="A3" s="918">
        <f>'RFPR cover'!C7</f>
        <v>2021</v>
      </c>
      <c r="B3" s="929"/>
      <c r="C3" s="277"/>
      <c r="D3" s="260"/>
      <c r="E3" s="260"/>
      <c r="F3" s="260"/>
      <c r="G3" s="260"/>
      <c r="H3" s="260"/>
      <c r="I3" s="255"/>
      <c r="J3" s="255"/>
      <c r="K3" s="255"/>
      <c r="L3" s="255"/>
      <c r="M3" s="255"/>
      <c r="N3" s="255"/>
      <c r="O3" s="261"/>
    </row>
    <row r="4" spans="1:20" ht="12.75" customHeight="1"/>
    <row r="5" spans="1:20" ht="12.75" customHeight="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row>
    <row r="6" spans="1:20" ht="27.75" customHeight="1">
      <c r="B6" s="777"/>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2021</v>
      </c>
      <c r="M6" s="119" t="s">
        <v>109</v>
      </c>
      <c r="N6" s="119" t="s">
        <v>309</v>
      </c>
    </row>
    <row r="7" spans="1:20" s="35" customFormat="1">
      <c r="B7" s="778"/>
      <c r="C7" s="158"/>
      <c r="D7" s="58"/>
      <c r="E7" s="58"/>
      <c r="F7" s="58"/>
      <c r="G7" s="58"/>
      <c r="H7" s="58"/>
      <c r="I7" s="58"/>
      <c r="J7" s="58"/>
      <c r="K7" s="58"/>
      <c r="L7" s="58"/>
      <c r="M7" s="58"/>
      <c r="N7" s="58"/>
    </row>
    <row r="8" spans="1:20" s="35" customFormat="1">
      <c r="B8" s="779" t="s">
        <v>375</v>
      </c>
      <c r="C8" s="291"/>
      <c r="D8" s="321"/>
      <c r="E8" s="321"/>
      <c r="F8" s="321"/>
      <c r="G8" s="321"/>
      <c r="H8" s="321"/>
      <c r="I8" s="321"/>
      <c r="J8" s="321"/>
      <c r="K8" s="321"/>
      <c r="L8" s="321"/>
      <c r="M8" s="321"/>
      <c r="N8" s="321"/>
    </row>
    <row r="9" spans="1:20" s="35" customFormat="1">
      <c r="B9" s="778"/>
      <c r="C9" s="158"/>
      <c r="D9" s="58"/>
      <c r="E9" s="58"/>
      <c r="F9" s="58"/>
      <c r="G9" s="58"/>
      <c r="H9" s="58"/>
      <c r="I9" s="58"/>
      <c r="J9" s="58"/>
      <c r="K9" s="58"/>
      <c r="L9" s="58"/>
      <c r="M9" s="58"/>
      <c r="N9" s="58"/>
    </row>
    <row r="10" spans="1:20">
      <c r="A10" s="35"/>
      <c r="B10" s="780" t="str">
        <f>Data!B48</f>
        <v>Totex</v>
      </c>
      <c r="C10" s="150"/>
      <c r="D10" s="82"/>
      <c r="E10" s="82"/>
      <c r="F10" s="82"/>
      <c r="G10" s="82"/>
      <c r="H10" s="82"/>
      <c r="I10" s="82"/>
      <c r="J10" s="82"/>
      <c r="K10" s="82"/>
      <c r="L10" s="82"/>
      <c r="M10" s="82"/>
      <c r="N10" s="82"/>
    </row>
    <row r="11" spans="1:20" s="35" customFormat="1">
      <c r="B11" s="781"/>
      <c r="C11" s="138"/>
      <c r="D11" s="320"/>
      <c r="E11" s="320"/>
      <c r="F11" s="320"/>
      <c r="G11" s="320"/>
      <c r="H11" s="320"/>
      <c r="I11" s="320"/>
      <c r="J11" s="320"/>
      <c r="K11" s="320"/>
      <c r="L11" s="320"/>
      <c r="M11" s="320"/>
      <c r="N11" s="320"/>
    </row>
    <row r="12" spans="1:20">
      <c r="A12" s="35"/>
      <c r="B12" s="305" t="s">
        <v>34</v>
      </c>
      <c r="C12" s="155" t="str">
        <f>'RFPR cover'!$C$14</f>
        <v>£m 12/13</v>
      </c>
      <c r="D12" s="483">
        <v>181.99346917520998</v>
      </c>
      <c r="E12" s="484">
        <v>196.23888280638121</v>
      </c>
      <c r="F12" s="484">
        <v>199.79864889694096</v>
      </c>
      <c r="G12" s="484">
        <v>220.35310863973677</v>
      </c>
      <c r="H12" s="484">
        <v>211.91238461366234</v>
      </c>
      <c r="I12" s="484">
        <v>207.64321574152697</v>
      </c>
      <c r="J12" s="484">
        <v>191.48874794563616</v>
      </c>
      <c r="K12" s="484">
        <v>190.17533930862271</v>
      </c>
      <c r="L12" s="107">
        <f>SUM(D12:INDEX(D12:K12,0,MATCH('RFPR cover'!$C$7,$D$6:$K$6,0)))</f>
        <v>1217.9397098734582</v>
      </c>
      <c r="M12" s="108">
        <f>SUM(D12:K12)</f>
        <v>1599.6037971277169</v>
      </c>
      <c r="N12" s="63"/>
      <c r="O12" s="63"/>
    </row>
    <row r="13" spans="1:20" ht="25.5">
      <c r="A13" s="35"/>
      <c r="B13" s="782" t="s">
        <v>487</v>
      </c>
      <c r="C13" s="155" t="str">
        <f>'RFPR cover'!$C$14</f>
        <v>£m 12/13</v>
      </c>
      <c r="D13" s="485">
        <v>205.07950586366874</v>
      </c>
      <c r="E13" s="486">
        <v>203.90254948286511</v>
      </c>
      <c r="F13" s="486">
        <v>208.61977633175462</v>
      </c>
      <c r="G13" s="486">
        <v>198.17251090858795</v>
      </c>
      <c r="H13" s="486">
        <v>191.2622754140379</v>
      </c>
      <c r="I13" s="486">
        <v>181.95174539422331</v>
      </c>
      <c r="J13" s="486">
        <v>186.74809065018829</v>
      </c>
      <c r="K13" s="486">
        <v>188.99852133959817</v>
      </c>
      <c r="L13" s="105">
        <f>SUM(D13:INDEX(D13:K13,0,MATCH('RFPR cover'!$C$7,$D$6:$K$6,0)))</f>
        <v>1188.9883633951376</v>
      </c>
      <c r="M13" s="106">
        <f>SUM(D13:K13)</f>
        <v>1564.7349753849242</v>
      </c>
      <c r="N13" s="63"/>
      <c r="O13" s="63"/>
    </row>
    <row r="14" spans="1:20">
      <c r="A14" s="35"/>
      <c r="B14" s="783" t="s">
        <v>194</v>
      </c>
      <c r="C14" s="155" t="str">
        <f>'RFPR cover'!$C$14</f>
        <v>£m 12/13</v>
      </c>
      <c r="D14" s="102">
        <f>D13-D12</f>
        <v>23.086036688458762</v>
      </c>
      <c r="E14" s="103">
        <f t="shared" ref="E14:M14" si="1">E13-E12</f>
        <v>7.6636666764838992</v>
      </c>
      <c r="F14" s="103">
        <f t="shared" si="1"/>
        <v>8.8211274348136612</v>
      </c>
      <c r="G14" s="103">
        <f t="shared" si="1"/>
        <v>-22.180597731148822</v>
      </c>
      <c r="H14" s="103">
        <f t="shared" si="1"/>
        <v>-20.650109199624438</v>
      </c>
      <c r="I14" s="103">
        <f t="shared" si="1"/>
        <v>-25.691470347303664</v>
      </c>
      <c r="J14" s="103">
        <f t="shared" si="1"/>
        <v>-4.7406572954478747</v>
      </c>
      <c r="K14" s="103">
        <f t="shared" si="1"/>
        <v>-1.1768179690245404</v>
      </c>
      <c r="L14" s="102">
        <f t="shared" si="1"/>
        <v>-28.951346478320602</v>
      </c>
      <c r="M14" s="104">
        <f t="shared" si="1"/>
        <v>-34.868821742792761</v>
      </c>
      <c r="N14" s="63"/>
      <c r="O14" s="999"/>
      <c r="P14" s="999"/>
      <c r="Q14" s="999"/>
      <c r="R14"/>
      <c r="S14"/>
      <c r="T14"/>
    </row>
    <row r="15" spans="1:20">
      <c r="A15" s="35"/>
      <c r="B15" s="783"/>
      <c r="C15" s="155"/>
      <c r="D15" s="59"/>
      <c r="E15" s="59"/>
      <c r="F15" s="59"/>
      <c r="G15" s="59"/>
      <c r="H15" s="59"/>
      <c r="I15" s="59"/>
      <c r="J15" s="59"/>
      <c r="K15" s="59"/>
      <c r="L15" s="59"/>
      <c r="M15" s="59"/>
      <c r="O15" s="64"/>
      <c r="P15" s="64"/>
      <c r="Q15" s="64"/>
      <c r="R15"/>
      <c r="S15"/>
      <c r="T15"/>
    </row>
    <row r="16" spans="1:20">
      <c r="A16" s="35"/>
      <c r="B16" s="777" t="s">
        <v>177</v>
      </c>
      <c r="C16" s="136" t="s">
        <v>7</v>
      </c>
      <c r="D16" s="109">
        <f>1-INDEX(Data!$D$73:$D$100,MATCH('RFPR cover'!$C$5,Data!$B$73:$B$100,0),0)</f>
        <v>0.46499999999999997</v>
      </c>
      <c r="E16" s="110">
        <f>1-INDEX(Data!$D$73:$D$100,MATCH('RFPR cover'!$C$5,Data!$B$73:$B$100,0),0)</f>
        <v>0.46499999999999997</v>
      </c>
      <c r="F16" s="110">
        <f>1-INDEX(Data!$D$73:$D$100,MATCH('RFPR cover'!$C$5,Data!$B$73:$B$100,0),0)</f>
        <v>0.46499999999999997</v>
      </c>
      <c r="G16" s="110">
        <f>1-INDEX(Data!$D$73:$D$100,MATCH('RFPR cover'!$C$5,Data!$B$73:$B$100,0),0)</f>
        <v>0.46499999999999997</v>
      </c>
      <c r="H16" s="110">
        <f>1-INDEX(Data!$D$73:$D$100,MATCH('RFPR cover'!$C$5,Data!$B$73:$B$100,0),0)</f>
        <v>0.46499999999999997</v>
      </c>
      <c r="I16" s="110">
        <f>1-INDEX(Data!$D$73:$D$100,MATCH('RFPR cover'!$C$5,Data!$B$73:$B$100,0),0)</f>
        <v>0.46499999999999997</v>
      </c>
      <c r="J16" s="110">
        <f>1-INDEX(Data!$D$73:$D$100,MATCH('RFPR cover'!$C$5,Data!$B$73:$B$100,0),0)</f>
        <v>0.46499999999999997</v>
      </c>
      <c r="K16" s="111">
        <f>1-INDEX(Data!$D$73:$D$100,MATCH('RFPR cover'!$C$5,Data!$B$73:$B$100,0),0)</f>
        <v>0.46499999999999997</v>
      </c>
      <c r="L16" s="62"/>
      <c r="M16" s="62"/>
      <c r="O16"/>
      <c r="P16"/>
      <c r="Q16"/>
      <c r="R16"/>
      <c r="S16"/>
      <c r="T16"/>
    </row>
    <row r="17" spans="1:20">
      <c r="A17" s="35"/>
      <c r="B17" s="777"/>
      <c r="O17"/>
      <c r="P17"/>
      <c r="Q17"/>
      <c r="R17"/>
      <c r="S17"/>
      <c r="T17"/>
    </row>
    <row r="18" spans="1:20">
      <c r="A18" s="35"/>
      <c r="B18" s="784" t="s">
        <v>182</v>
      </c>
      <c r="C18" s="159" t="str">
        <f>'RFPR cover'!$C$14</f>
        <v>£m 12/13</v>
      </c>
      <c r="D18" s="95">
        <f>D14*D16</f>
        <v>10.735007060133324</v>
      </c>
      <c r="E18" s="96">
        <f t="shared" ref="E18:K18" si="2">E14*E16</f>
        <v>3.5636050045650127</v>
      </c>
      <c r="F18" s="96">
        <f t="shared" si="2"/>
        <v>4.1018242571883521</v>
      </c>
      <c r="G18" s="96">
        <f t="shared" si="2"/>
        <v>-10.313977944984202</v>
      </c>
      <c r="H18" s="96">
        <f t="shared" si="2"/>
        <v>-9.6023007778253628</v>
      </c>
      <c r="I18" s="96">
        <f t="shared" si="2"/>
        <v>-11.946533711496203</v>
      </c>
      <c r="J18" s="96">
        <f t="shared" si="2"/>
        <v>-2.2044056423832616</v>
      </c>
      <c r="K18" s="96">
        <f t="shared" si="2"/>
        <v>-0.54722035559641125</v>
      </c>
      <c r="L18" s="95">
        <f>SUM(D18:INDEX(D18:K18,0,MATCH('RFPR cover'!$C$7,$D$6:$K$6,0)))</f>
        <v>-13.462376112419081</v>
      </c>
      <c r="M18" s="97">
        <f>SUM(D18:K18)</f>
        <v>-16.214002110398756</v>
      </c>
      <c r="O18"/>
      <c r="P18"/>
      <c r="Q18"/>
      <c r="R18"/>
      <c r="S18"/>
      <c r="T18"/>
    </row>
    <row r="19" spans="1:20">
      <c r="A19" s="35"/>
      <c r="B19" s="784" t="s">
        <v>278</v>
      </c>
      <c r="C19" s="159" t="str">
        <f>'RFPR cover'!$C$14</f>
        <v>£m 12/13</v>
      </c>
      <c r="D19" s="92">
        <f>D14*(1-D16)</f>
        <v>12.351029628325438</v>
      </c>
      <c r="E19" s="93">
        <f t="shared" ref="E19:K19" si="3">E14*(1-E16)</f>
        <v>4.100061671918886</v>
      </c>
      <c r="F19" s="93">
        <f t="shared" si="3"/>
        <v>4.7193031776253092</v>
      </c>
      <c r="G19" s="93">
        <f t="shared" si="3"/>
        <v>-11.86661978616462</v>
      </c>
      <c r="H19" s="93">
        <f t="shared" si="3"/>
        <v>-11.047808421799076</v>
      </c>
      <c r="I19" s="93">
        <f t="shared" si="3"/>
        <v>-13.744936635807461</v>
      </c>
      <c r="J19" s="93">
        <f t="shared" si="3"/>
        <v>-2.5362516530646131</v>
      </c>
      <c r="K19" s="93">
        <f t="shared" si="3"/>
        <v>-0.62959761342812914</v>
      </c>
      <c r="L19" s="92">
        <f>SUM(D19:INDEX(D19:K19,0,MATCH('RFPR cover'!$C$7,$D$6:$K$6,0)))</f>
        <v>-15.488970365901521</v>
      </c>
      <c r="M19" s="94">
        <f>SUM(D19:K19)</f>
        <v>-18.654819632394261</v>
      </c>
      <c r="O19"/>
      <c r="P19"/>
      <c r="Q19"/>
      <c r="R19"/>
      <c r="S19"/>
      <c r="T19"/>
    </row>
    <row r="20" spans="1:20">
      <c r="A20" s="35"/>
      <c r="B20" s="777"/>
      <c r="O20"/>
      <c r="P20"/>
      <c r="Q20"/>
      <c r="R20"/>
      <c r="S20"/>
      <c r="T20"/>
    </row>
    <row r="21" spans="1:20">
      <c r="A21" s="35"/>
      <c r="B21" s="785" t="s">
        <v>181</v>
      </c>
      <c r="N21" s="63"/>
      <c r="O21"/>
      <c r="P21"/>
      <c r="Q21"/>
      <c r="R21"/>
      <c r="S21"/>
      <c r="T21"/>
    </row>
    <row r="22" spans="1:20">
      <c r="A22" s="269" t="s">
        <v>151</v>
      </c>
      <c r="B22" s="775" t="s">
        <v>612</v>
      </c>
      <c r="C22" s="155" t="str">
        <f>'RFPR cover'!$C$14</f>
        <v>£m 12/13</v>
      </c>
      <c r="D22" s="584">
        <v>-23.086036688458762</v>
      </c>
      <c r="E22" s="585">
        <v>-7.6636666764838992</v>
      </c>
      <c r="F22" s="585">
        <v>-8.8211274348136612</v>
      </c>
      <c r="G22" s="585">
        <v>22.166048555645517</v>
      </c>
      <c r="H22" s="585">
        <v>12</v>
      </c>
      <c r="I22" s="585">
        <v>17</v>
      </c>
      <c r="J22" s="585">
        <v>-4</v>
      </c>
      <c r="K22" s="585">
        <v>-7.5952177558891902</v>
      </c>
      <c r="L22" s="586">
        <f>SUM(D22:INDEX(D22:K22,0,MATCH('RFPR cover'!$C$7,$D$6:$K$6,0)))</f>
        <v>11.595217755889195</v>
      </c>
      <c r="M22" s="587">
        <f t="shared" ref="M22:M27" si="4">SUM(D22:K22)</f>
        <v>0</v>
      </c>
      <c r="N22" s="949">
        <v>0</v>
      </c>
      <c r="O22"/>
      <c r="P22"/>
      <c r="Q22"/>
      <c r="R22"/>
      <c r="S22"/>
      <c r="T22"/>
    </row>
    <row r="23" spans="1:20">
      <c r="A23" s="269" t="s">
        <v>152</v>
      </c>
      <c r="B23" s="775" t="s">
        <v>241</v>
      </c>
      <c r="C23" s="155" t="str">
        <f>'RFPR cover'!$C$14</f>
        <v>£m 12/13</v>
      </c>
      <c r="D23" s="588">
        <v>0</v>
      </c>
      <c r="E23" s="589">
        <v>0</v>
      </c>
      <c r="F23" s="589">
        <v>0</v>
      </c>
      <c r="G23" s="589">
        <v>0</v>
      </c>
      <c r="H23" s="589">
        <v>0</v>
      </c>
      <c r="I23" s="589">
        <v>0</v>
      </c>
      <c r="J23" s="589">
        <v>0</v>
      </c>
      <c r="K23" s="589">
        <v>0</v>
      </c>
      <c r="L23" s="590">
        <f>SUM(D23:INDEX(D23:K23,0,MATCH('RFPR cover'!$C$7,$D$6:$K$6,0)))</f>
        <v>0</v>
      </c>
      <c r="M23" s="591">
        <f t="shared" si="4"/>
        <v>0</v>
      </c>
      <c r="N23" s="950">
        <v>0</v>
      </c>
      <c r="O23"/>
      <c r="P23"/>
      <c r="Q23"/>
      <c r="R23"/>
      <c r="S23"/>
      <c r="T23"/>
    </row>
    <row r="24" spans="1:20">
      <c r="A24" s="269" t="s">
        <v>153</v>
      </c>
      <c r="B24" s="775" t="s">
        <v>241</v>
      </c>
      <c r="C24" s="155" t="str">
        <f>'RFPR cover'!$C$14</f>
        <v>£m 12/13</v>
      </c>
      <c r="D24" s="588">
        <v>0</v>
      </c>
      <c r="E24" s="589">
        <v>0</v>
      </c>
      <c r="F24" s="589">
        <v>0</v>
      </c>
      <c r="G24" s="589">
        <v>0</v>
      </c>
      <c r="H24" s="589">
        <v>0</v>
      </c>
      <c r="I24" s="589">
        <v>0</v>
      </c>
      <c r="J24" s="589">
        <v>0</v>
      </c>
      <c r="K24" s="589">
        <v>0</v>
      </c>
      <c r="L24" s="590">
        <f>SUM(D24:INDEX(D24:K24,0,MATCH('RFPR cover'!$C$7,$D$6:$K$6,0)))</f>
        <v>0</v>
      </c>
      <c r="M24" s="591">
        <f t="shared" si="4"/>
        <v>0</v>
      </c>
      <c r="N24" s="950">
        <v>0</v>
      </c>
      <c r="O24"/>
      <c r="P24"/>
      <c r="Q24"/>
      <c r="R24"/>
      <c r="S24" s="65"/>
      <c r="T24"/>
    </row>
    <row r="25" spans="1:20">
      <c r="A25" s="269" t="s">
        <v>167</v>
      </c>
      <c r="B25" s="775" t="s">
        <v>241</v>
      </c>
      <c r="C25" s="155" t="str">
        <f>'RFPR cover'!$C$14</f>
        <v>£m 12/13</v>
      </c>
      <c r="D25" s="588">
        <v>0</v>
      </c>
      <c r="E25" s="589">
        <v>0</v>
      </c>
      <c r="F25" s="589">
        <v>0</v>
      </c>
      <c r="G25" s="589">
        <v>0</v>
      </c>
      <c r="H25" s="589">
        <v>0</v>
      </c>
      <c r="I25" s="589">
        <v>0</v>
      </c>
      <c r="J25" s="589">
        <v>0</v>
      </c>
      <c r="K25" s="589">
        <v>0</v>
      </c>
      <c r="L25" s="590">
        <f>SUM(D25:INDEX(D25:K25,0,MATCH('RFPR cover'!$C$7,$D$6:$K$6,0)))</f>
        <v>0</v>
      </c>
      <c r="M25" s="591">
        <f t="shared" si="4"/>
        <v>0</v>
      </c>
      <c r="N25" s="950">
        <v>0</v>
      </c>
      <c r="O25"/>
      <c r="P25"/>
      <c r="Q25"/>
      <c r="R25"/>
      <c r="S25"/>
      <c r="T25"/>
    </row>
    <row r="26" spans="1:20">
      <c r="A26" s="269" t="s">
        <v>168</v>
      </c>
      <c r="B26" s="775" t="s">
        <v>241</v>
      </c>
      <c r="C26" s="155" t="str">
        <f>'RFPR cover'!$C$14</f>
        <v>£m 12/13</v>
      </c>
      <c r="D26" s="588">
        <v>0</v>
      </c>
      <c r="E26" s="589">
        <v>0</v>
      </c>
      <c r="F26" s="589">
        <v>0</v>
      </c>
      <c r="G26" s="589">
        <v>0</v>
      </c>
      <c r="H26" s="589">
        <v>0</v>
      </c>
      <c r="I26" s="589">
        <v>0</v>
      </c>
      <c r="J26" s="589">
        <v>0</v>
      </c>
      <c r="K26" s="589">
        <v>0</v>
      </c>
      <c r="L26" s="590">
        <f>SUM(D26:INDEX(D26:K26,0,MATCH('RFPR cover'!$C$7,$D$6:$K$6,0)))</f>
        <v>0</v>
      </c>
      <c r="M26" s="591">
        <f t="shared" si="4"/>
        <v>0</v>
      </c>
      <c r="N26" s="950">
        <v>0</v>
      </c>
      <c r="O26"/>
      <c r="P26"/>
      <c r="Q26"/>
      <c r="R26"/>
      <c r="S26"/>
      <c r="T26"/>
    </row>
    <row r="27" spans="1:20">
      <c r="A27" s="269" t="s">
        <v>169</v>
      </c>
      <c r="B27" s="775" t="s">
        <v>241</v>
      </c>
      <c r="C27" s="155" t="str">
        <f>'RFPR cover'!$C$14</f>
        <v>£m 12/13</v>
      </c>
      <c r="D27" s="592">
        <v>0</v>
      </c>
      <c r="E27" s="593">
        <v>0</v>
      </c>
      <c r="F27" s="593">
        <v>0</v>
      </c>
      <c r="G27" s="593">
        <v>0</v>
      </c>
      <c r="H27" s="593">
        <v>0</v>
      </c>
      <c r="I27" s="593">
        <v>0</v>
      </c>
      <c r="J27" s="593">
        <v>0</v>
      </c>
      <c r="K27" s="593">
        <v>0</v>
      </c>
      <c r="L27" s="594">
        <f>SUM(D27:INDEX(D27:K27,0,MATCH('RFPR cover'!$C$7,$D$6:$K$6,0)))</f>
        <v>0</v>
      </c>
      <c r="M27" s="595">
        <f t="shared" si="4"/>
        <v>0</v>
      </c>
      <c r="N27" s="951">
        <v>0</v>
      </c>
      <c r="O27"/>
      <c r="P27"/>
      <c r="Q27"/>
      <c r="R27"/>
      <c r="S27"/>
      <c r="T27"/>
    </row>
    <row r="28" spans="1:20">
      <c r="A28" s="35"/>
      <c r="B28" s="785" t="s">
        <v>189</v>
      </c>
      <c r="C28" s="155" t="str">
        <f>'RFPR cover'!$C$14</f>
        <v>£m 12/13</v>
      </c>
      <c r="D28" s="102">
        <f>SUM(D22:D27)</f>
        <v>-23.086036688458762</v>
      </c>
      <c r="E28" s="103">
        <f t="shared" ref="E28:K28" si="5">SUM(E22:E27)</f>
        <v>-7.6636666764838992</v>
      </c>
      <c r="F28" s="103">
        <f t="shared" si="5"/>
        <v>-8.8211274348136612</v>
      </c>
      <c r="G28" s="103">
        <f t="shared" si="5"/>
        <v>22.166048555645517</v>
      </c>
      <c r="H28" s="103">
        <f t="shared" si="5"/>
        <v>12</v>
      </c>
      <c r="I28" s="103">
        <f t="shared" si="5"/>
        <v>17</v>
      </c>
      <c r="J28" s="103">
        <f t="shared" si="5"/>
        <v>-4</v>
      </c>
      <c r="K28" s="103">
        <f t="shared" si="5"/>
        <v>-7.5952177558891902</v>
      </c>
      <c r="L28" s="102">
        <f>SUM(D28:INDEX(D28:K28,0,MATCH('RFPR cover'!$C$7,$D$6:$K$6,0)))</f>
        <v>11.595217755889195</v>
      </c>
      <c r="M28" s="104">
        <f>SUM(D28:K28)</f>
        <v>0</v>
      </c>
      <c r="N28" s="63"/>
    </row>
    <row r="29" spans="1:20">
      <c r="A29" s="35"/>
      <c r="B29" s="777"/>
    </row>
    <row r="30" spans="1:20">
      <c r="A30" s="35"/>
      <c r="B30" s="784" t="s">
        <v>197</v>
      </c>
      <c r="C30" s="159" t="str">
        <f>'RFPR cover'!$C$14</f>
        <v>£m 12/13</v>
      </c>
      <c r="D30" s="95">
        <f t="shared" ref="D30:K30" si="6">D28*D16</f>
        <v>-10.735007060133324</v>
      </c>
      <c r="E30" s="96">
        <f t="shared" si="6"/>
        <v>-3.5636050045650127</v>
      </c>
      <c r="F30" s="96">
        <f t="shared" si="6"/>
        <v>-4.1018242571883521</v>
      </c>
      <c r="G30" s="96">
        <f t="shared" si="6"/>
        <v>10.307212578375164</v>
      </c>
      <c r="H30" s="96">
        <f t="shared" si="6"/>
        <v>5.58</v>
      </c>
      <c r="I30" s="96">
        <f t="shared" si="6"/>
        <v>7.9049999999999994</v>
      </c>
      <c r="J30" s="96">
        <f t="shared" si="6"/>
        <v>-1.8599999999999999</v>
      </c>
      <c r="K30" s="96">
        <f t="shared" si="6"/>
        <v>-3.5317762564884734</v>
      </c>
      <c r="L30" s="95">
        <f>SUM(D30:INDEX(D30:K30,0,MATCH('RFPR cover'!$C$7,$D$6:$K$6,0)))</f>
        <v>5.3917762564884768</v>
      </c>
      <c r="M30" s="97">
        <f>SUM(D30:K30)</f>
        <v>3.5527136788005009E-15</v>
      </c>
    </row>
    <row r="31" spans="1:20">
      <c r="A31" s="35"/>
      <c r="B31" s="784" t="s">
        <v>307</v>
      </c>
      <c r="C31" s="159" t="str">
        <f>'RFPR cover'!$C$14</f>
        <v>£m 12/13</v>
      </c>
      <c r="D31" s="92">
        <f t="shared" ref="D31:K31" si="7">D28*(1-D16)</f>
        <v>-12.351029628325438</v>
      </c>
      <c r="E31" s="93">
        <f t="shared" si="7"/>
        <v>-4.100061671918886</v>
      </c>
      <c r="F31" s="93">
        <f t="shared" si="7"/>
        <v>-4.7193031776253092</v>
      </c>
      <c r="G31" s="93">
        <f t="shared" si="7"/>
        <v>11.858835977270353</v>
      </c>
      <c r="H31" s="93">
        <f t="shared" si="7"/>
        <v>6.42</v>
      </c>
      <c r="I31" s="93">
        <f t="shared" si="7"/>
        <v>9.0950000000000006</v>
      </c>
      <c r="J31" s="93">
        <f t="shared" si="7"/>
        <v>-2.14</v>
      </c>
      <c r="K31" s="93">
        <f t="shared" si="7"/>
        <v>-4.0634414994007173</v>
      </c>
      <c r="L31" s="92">
        <f>SUM(D31:INDEX(D31:K31,0,MATCH('RFPR cover'!$C$7,$D$6:$K$6,0)))</f>
        <v>6.2034414994007179</v>
      </c>
      <c r="M31" s="94">
        <f>SUM(D31:K31)</f>
        <v>0</v>
      </c>
    </row>
    <row r="32" spans="1:20">
      <c r="A32" s="35"/>
      <c r="B32" s="777"/>
    </row>
    <row r="33" spans="1:20">
      <c r="A33" s="35"/>
      <c r="B33" s="785" t="s">
        <v>180</v>
      </c>
    </row>
    <row r="34" spans="1:20">
      <c r="A34" s="35"/>
      <c r="B34" s="777" t="s">
        <v>179</v>
      </c>
      <c r="C34" s="155" t="str">
        <f>'RFPR cover'!$C$14</f>
        <v>£m 12/13</v>
      </c>
      <c r="D34" s="95">
        <f>D18+D30</f>
        <v>0</v>
      </c>
      <c r="E34" s="96">
        <f t="shared" ref="E34:K34" si="8">E18+E30</f>
        <v>0</v>
      </c>
      <c r="F34" s="96">
        <f t="shared" si="8"/>
        <v>0</v>
      </c>
      <c r="G34" s="96">
        <f t="shared" si="8"/>
        <v>-6.7653666090379261E-3</v>
      </c>
      <c r="H34" s="96">
        <f t="shared" si="8"/>
        <v>-4.0223007778253628</v>
      </c>
      <c r="I34" s="96">
        <f t="shared" si="8"/>
        <v>-4.0415337114962036</v>
      </c>
      <c r="J34" s="96">
        <f t="shared" si="8"/>
        <v>-4.064405642383262</v>
      </c>
      <c r="K34" s="96">
        <f t="shared" si="8"/>
        <v>-4.0789966120848842</v>
      </c>
      <c r="L34" s="95">
        <f>SUM(D34:INDEX(D34:K34,0,MATCH('RFPR cover'!$C$7,$D$6:$K$6,0)))</f>
        <v>-8.0705998559306042</v>
      </c>
      <c r="M34" s="97">
        <f>SUM(D34:K34)</f>
        <v>-16.214002110398752</v>
      </c>
    </row>
    <row r="35" spans="1:20">
      <c r="A35" s="35"/>
      <c r="B35" s="777" t="s">
        <v>278</v>
      </c>
      <c r="C35" s="155" t="str">
        <f>'RFPR cover'!$C$14</f>
        <v>£m 12/13</v>
      </c>
      <c r="D35" s="98">
        <f>D19+D31</f>
        <v>0</v>
      </c>
      <c r="E35" s="99">
        <f t="shared" ref="E35:K35" si="9">E19+E31</f>
        <v>0</v>
      </c>
      <c r="F35" s="99">
        <f t="shared" si="9"/>
        <v>0</v>
      </c>
      <c r="G35" s="99">
        <f t="shared" si="9"/>
        <v>-7.783808894266997E-3</v>
      </c>
      <c r="H35" s="99">
        <f t="shared" si="9"/>
        <v>-4.6278084217990756</v>
      </c>
      <c r="I35" s="99">
        <f t="shared" si="9"/>
        <v>-4.6499366358074603</v>
      </c>
      <c r="J35" s="99">
        <f t="shared" si="9"/>
        <v>-4.6762516530646128</v>
      </c>
      <c r="K35" s="99">
        <f t="shared" si="9"/>
        <v>-4.6930391128288464</v>
      </c>
      <c r="L35" s="98">
        <f>SUM(D35:INDEX(D35:K35,0,MATCH('RFPR cover'!$C$7,$D$6:$K$6,0)))</f>
        <v>-9.2855288665008029</v>
      </c>
      <c r="M35" s="100">
        <f>SUM(D35:K35)</f>
        <v>-18.654819632394261</v>
      </c>
    </row>
    <row r="36" spans="1:20">
      <c r="A36" s="35"/>
      <c r="B36" s="785" t="s">
        <v>11</v>
      </c>
      <c r="C36" s="156" t="str">
        <f>'RFPR cover'!$C$14</f>
        <v>£m 12/13</v>
      </c>
      <c r="D36" s="139">
        <f>SUM(D34:D35)</f>
        <v>0</v>
      </c>
      <c r="E36" s="140">
        <f t="shared" ref="E36:K36" si="10">SUM(E34:E35)</f>
        <v>0</v>
      </c>
      <c r="F36" s="140">
        <f t="shared" si="10"/>
        <v>0</v>
      </c>
      <c r="G36" s="140">
        <f t="shared" si="10"/>
        <v>-1.4549175503304923E-2</v>
      </c>
      <c r="H36" s="140">
        <f t="shared" si="10"/>
        <v>-8.6501091996244384</v>
      </c>
      <c r="I36" s="140">
        <f t="shared" si="10"/>
        <v>-8.6914703473036639</v>
      </c>
      <c r="J36" s="140">
        <f t="shared" si="10"/>
        <v>-8.7406572954478747</v>
      </c>
      <c r="K36" s="140">
        <f t="shared" si="10"/>
        <v>-8.7720357249137315</v>
      </c>
      <c r="L36" s="139">
        <f>SUM(D36:INDEX(D36:K36,0,MATCH('RFPR cover'!$C$7,$D$6:$K$6,0)))</f>
        <v>-17.356128722431407</v>
      </c>
      <c r="M36" s="141">
        <f>SUM(D36:K36)</f>
        <v>-34.868821742793017</v>
      </c>
    </row>
    <row r="37" spans="1:20">
      <c r="A37" s="35"/>
      <c r="B37" s="777"/>
    </row>
    <row r="38" spans="1:20">
      <c r="A38" s="35"/>
      <c r="B38" s="780" t="str">
        <f>Data!B51</f>
        <v>n/a</v>
      </c>
      <c r="C38" s="150"/>
      <c r="D38" s="82"/>
      <c r="E38" s="82"/>
      <c r="F38" s="82"/>
      <c r="G38" s="82"/>
      <c r="H38" s="82"/>
      <c r="I38" s="82"/>
      <c r="J38" s="82"/>
      <c r="K38" s="82"/>
      <c r="L38" s="82"/>
      <c r="M38" s="82"/>
      <c r="N38" s="82"/>
    </row>
    <row r="39" spans="1:20" s="35" customFormat="1">
      <c r="B39" s="778"/>
      <c r="C39" s="138"/>
      <c r="D39" s="320"/>
      <c r="E39" s="320"/>
      <c r="F39" s="320"/>
      <c r="G39" s="320"/>
      <c r="H39" s="320"/>
      <c r="I39" s="320"/>
      <c r="J39" s="320"/>
      <c r="K39" s="320"/>
      <c r="L39" s="320"/>
      <c r="M39" s="320"/>
      <c r="N39" s="320"/>
    </row>
    <row r="40" spans="1:20">
      <c r="A40" s="35"/>
      <c r="B40" s="305" t="s">
        <v>34</v>
      </c>
      <c r="C40" s="155" t="str">
        <f>'RFPR cover'!$C$14</f>
        <v>£m 12/13</v>
      </c>
      <c r="D40" s="651"/>
      <c r="E40" s="652"/>
      <c r="F40" s="652"/>
      <c r="G40" s="652"/>
      <c r="H40" s="652"/>
      <c r="I40" s="652"/>
      <c r="J40" s="652"/>
      <c r="K40" s="652"/>
      <c r="L40" s="653">
        <f>SUM(D40:INDEX(D40:K40,0,MATCH('RFPR cover'!$C$7,$D$6:$K$6,0)))</f>
        <v>0</v>
      </c>
      <c r="M40" s="654">
        <f>SUM(D40:K40)</f>
        <v>0</v>
      </c>
      <c r="N40" s="352"/>
      <c r="O40" s="63"/>
    </row>
    <row r="41" spans="1:20" ht="25.5">
      <c r="A41" s="35"/>
      <c r="B41" s="782" t="s">
        <v>487</v>
      </c>
      <c r="C41" s="155" t="str">
        <f>'RFPR cover'!$C$14</f>
        <v>£m 12/13</v>
      </c>
      <c r="D41" s="655"/>
      <c r="E41" s="656"/>
      <c r="F41" s="656"/>
      <c r="G41" s="656"/>
      <c r="H41" s="656"/>
      <c r="I41" s="656"/>
      <c r="J41" s="656"/>
      <c r="K41" s="656"/>
      <c r="L41" s="657">
        <f>SUM(D41:INDEX(D41:K41,0,MATCH('RFPR cover'!$C$7,$D$6:$K$6,0)))</f>
        <v>0</v>
      </c>
      <c r="M41" s="658">
        <f>SUM(D41:K41)</f>
        <v>0</v>
      </c>
      <c r="N41" s="352"/>
      <c r="O41" s="63"/>
    </row>
    <row r="42" spans="1:20">
      <c r="A42" s="35"/>
      <c r="B42" s="783" t="s">
        <v>194</v>
      </c>
      <c r="C42" s="155" t="str">
        <f>'RFPR cover'!$C$14</f>
        <v>£m 12/13</v>
      </c>
      <c r="D42" s="102">
        <f>D41-D40</f>
        <v>0</v>
      </c>
      <c r="E42" s="103">
        <f t="shared" ref="E42:M42" si="11">E41-E40</f>
        <v>0</v>
      </c>
      <c r="F42" s="103">
        <f t="shared" si="11"/>
        <v>0</v>
      </c>
      <c r="G42" s="103">
        <f t="shared" si="11"/>
        <v>0</v>
      </c>
      <c r="H42" s="103">
        <f t="shared" si="11"/>
        <v>0</v>
      </c>
      <c r="I42" s="103">
        <f t="shared" si="11"/>
        <v>0</v>
      </c>
      <c r="J42" s="103">
        <f t="shared" si="11"/>
        <v>0</v>
      </c>
      <c r="K42" s="103">
        <f t="shared" si="11"/>
        <v>0</v>
      </c>
      <c r="L42" s="355">
        <f t="shared" si="11"/>
        <v>0</v>
      </c>
      <c r="M42" s="356">
        <f t="shared" si="11"/>
        <v>0</v>
      </c>
      <c r="N42" s="353"/>
      <c r="O42" s="999"/>
      <c r="P42" s="999"/>
      <c r="Q42" s="999"/>
      <c r="R42"/>
      <c r="S42"/>
      <c r="T42"/>
    </row>
    <row r="43" spans="1:20">
      <c r="A43" s="35"/>
      <c r="B43" s="783"/>
      <c r="C43" s="155"/>
      <c r="D43" s="59"/>
      <c r="E43" s="59"/>
      <c r="F43" s="59"/>
      <c r="G43" s="59"/>
      <c r="H43" s="59"/>
      <c r="I43" s="59"/>
      <c r="J43" s="59"/>
      <c r="K43" s="59"/>
      <c r="L43" s="59"/>
      <c r="M43" s="59"/>
      <c r="N43" s="349"/>
      <c r="O43" s="64"/>
      <c r="P43" s="64"/>
      <c r="Q43" s="64"/>
      <c r="R43"/>
      <c r="S43"/>
      <c r="T43"/>
    </row>
    <row r="44" spans="1:20">
      <c r="A44" s="35"/>
      <c r="B44" s="777" t="s">
        <v>177</v>
      </c>
      <c r="C44" s="136" t="s">
        <v>7</v>
      </c>
      <c r="D44" s="109">
        <f>1-INDEX(Data!$D$73:$D$100,MATCH('RFPR cover'!$C$5,Data!$B$73:$B$100,0),0)</f>
        <v>0.46499999999999997</v>
      </c>
      <c r="E44" s="110">
        <f>1-INDEX(Data!$D$73:$D$100,MATCH('RFPR cover'!$C$5,Data!$B$73:$B$100,0),0)</f>
        <v>0.46499999999999997</v>
      </c>
      <c r="F44" s="110">
        <f>1-INDEX(Data!$D$73:$D$100,MATCH('RFPR cover'!$C$5,Data!$B$73:$B$100,0),0)</f>
        <v>0.46499999999999997</v>
      </c>
      <c r="G44" s="110">
        <f>1-INDEX(Data!$D$73:$D$100,MATCH('RFPR cover'!$C$5,Data!$B$73:$B$100,0),0)</f>
        <v>0.46499999999999997</v>
      </c>
      <c r="H44" s="110">
        <f>1-INDEX(Data!$D$73:$D$100,MATCH('RFPR cover'!$C$5,Data!$B$73:$B$100,0),0)</f>
        <v>0.46499999999999997</v>
      </c>
      <c r="I44" s="110">
        <f>1-INDEX(Data!$D$73:$D$100,MATCH('RFPR cover'!$C$5,Data!$B$73:$B$100,0),0)</f>
        <v>0.46499999999999997</v>
      </c>
      <c r="J44" s="110">
        <f>1-INDEX(Data!$D$73:$D$100,MATCH('RFPR cover'!$C$5,Data!$B$73:$B$100,0),0)</f>
        <v>0.46499999999999997</v>
      </c>
      <c r="K44" s="111">
        <f>1-INDEX(Data!$D$73:$D$100,MATCH('RFPR cover'!$C$5,Data!$B$73:$B$100,0),0)</f>
        <v>0.46499999999999997</v>
      </c>
      <c r="L44" s="62"/>
      <c r="M44" s="62"/>
      <c r="N44" s="350"/>
      <c r="O44"/>
      <c r="P44"/>
      <c r="Q44"/>
      <c r="R44"/>
      <c r="S44"/>
      <c r="T44"/>
    </row>
    <row r="45" spans="1:20">
      <c r="A45" s="35"/>
      <c r="B45" s="777"/>
      <c r="N45" s="351"/>
      <c r="O45"/>
      <c r="P45"/>
      <c r="Q45"/>
      <c r="R45"/>
      <c r="S45"/>
      <c r="T45"/>
    </row>
    <row r="46" spans="1:20">
      <c r="A46" s="35"/>
      <c r="B46" s="784" t="s">
        <v>182</v>
      </c>
      <c r="C46" s="159" t="str">
        <f>'RFPR cover'!$C$14</f>
        <v>£m 12/13</v>
      </c>
      <c r="D46" s="95">
        <f>D42*D44</f>
        <v>0</v>
      </c>
      <c r="E46" s="96">
        <f t="shared" ref="E46:K46" si="12">E42*E44</f>
        <v>0</v>
      </c>
      <c r="F46" s="96">
        <f t="shared" si="12"/>
        <v>0</v>
      </c>
      <c r="G46" s="96">
        <f t="shared" si="12"/>
        <v>0</v>
      </c>
      <c r="H46" s="96">
        <f t="shared" si="12"/>
        <v>0</v>
      </c>
      <c r="I46" s="96">
        <f t="shared" si="12"/>
        <v>0</v>
      </c>
      <c r="J46" s="96">
        <f t="shared" si="12"/>
        <v>0</v>
      </c>
      <c r="K46" s="96">
        <f t="shared" si="12"/>
        <v>0</v>
      </c>
      <c r="L46" s="357">
        <f>SUM(D46:INDEX(D46:K46,0,MATCH('RFPR cover'!$C$7,$D$6:$K$6,0)))</f>
        <v>0</v>
      </c>
      <c r="M46" s="578">
        <f>SUM(D46:K46)</f>
        <v>0</v>
      </c>
      <c r="N46" s="353"/>
      <c r="O46"/>
      <c r="P46"/>
      <c r="Q46"/>
      <c r="R46"/>
      <c r="S46"/>
      <c r="T46"/>
    </row>
    <row r="47" spans="1:20">
      <c r="A47" s="35"/>
      <c r="B47" s="784" t="s">
        <v>278</v>
      </c>
      <c r="C47" s="159" t="str">
        <f>'RFPR cover'!$C$14</f>
        <v>£m 12/13</v>
      </c>
      <c r="D47" s="580">
        <f>D42*(1-D44)</f>
        <v>0</v>
      </c>
      <c r="E47" s="581">
        <f t="shared" ref="E47:K47" si="13">E42*(1-E44)</f>
        <v>0</v>
      </c>
      <c r="F47" s="581">
        <f t="shared" si="13"/>
        <v>0</v>
      </c>
      <c r="G47" s="581">
        <f t="shared" si="13"/>
        <v>0</v>
      </c>
      <c r="H47" s="581">
        <f t="shared" si="13"/>
        <v>0</v>
      </c>
      <c r="I47" s="581">
        <f t="shared" si="13"/>
        <v>0</v>
      </c>
      <c r="J47" s="581">
        <f t="shared" si="13"/>
        <v>0</v>
      </c>
      <c r="K47" s="581">
        <f t="shared" si="13"/>
        <v>0</v>
      </c>
      <c r="L47" s="582">
        <f>SUM(D47:INDEX(D47:K47,0,MATCH('RFPR cover'!$C$7,$D$6:$K$6,0)))</f>
        <v>0</v>
      </c>
      <c r="M47" s="583">
        <f>SUM(D47:K47)</f>
        <v>0</v>
      </c>
      <c r="N47" s="353"/>
      <c r="O47"/>
      <c r="P47"/>
      <c r="Q47"/>
      <c r="R47"/>
      <c r="S47"/>
      <c r="T47"/>
    </row>
    <row r="48" spans="1:20">
      <c r="A48" s="35"/>
      <c r="B48" s="777"/>
      <c r="N48" s="351"/>
      <c r="O48"/>
      <c r="P48"/>
      <c r="Q48"/>
      <c r="R48"/>
      <c r="S48"/>
      <c r="T48"/>
    </row>
    <row r="49" spans="1:20">
      <c r="A49" s="35"/>
      <c r="B49" s="785" t="s">
        <v>181</v>
      </c>
      <c r="N49" s="351"/>
      <c r="O49"/>
      <c r="P49"/>
      <c r="Q49"/>
      <c r="R49"/>
      <c r="S49"/>
      <c r="T49"/>
    </row>
    <row r="50" spans="1:20">
      <c r="A50" s="269" t="s">
        <v>151</v>
      </c>
      <c r="B50" s="775" t="s">
        <v>241</v>
      </c>
      <c r="C50" s="155" t="str">
        <f>'RFPR cover'!$C$14</f>
        <v>£m 12/13</v>
      </c>
      <c r="D50" s="584"/>
      <c r="E50" s="585"/>
      <c r="F50" s="585"/>
      <c r="G50" s="585"/>
      <c r="H50" s="585"/>
      <c r="I50" s="585"/>
      <c r="J50" s="585"/>
      <c r="K50" s="585"/>
      <c r="L50" s="659">
        <f>SUM(D50:INDEX(D50:K50,0,MATCH('RFPR cover'!$C$7,$D$6:$K$6,0)))</f>
        <v>0</v>
      </c>
      <c r="M50" s="660">
        <f t="shared" ref="M50:M56" si="14">SUM(D50:K50)</f>
        <v>0</v>
      </c>
      <c r="N50" s="575"/>
      <c r="O50"/>
      <c r="P50"/>
      <c r="Q50"/>
      <c r="R50"/>
      <c r="S50"/>
      <c r="T50"/>
    </row>
    <row r="51" spans="1:20">
      <c r="A51" s="269" t="s">
        <v>152</v>
      </c>
      <c r="B51" s="775" t="s">
        <v>241</v>
      </c>
      <c r="C51" s="155" t="str">
        <f>'RFPR cover'!$C$14</f>
        <v>£m 12/13</v>
      </c>
      <c r="D51" s="588"/>
      <c r="E51" s="589"/>
      <c r="F51" s="589"/>
      <c r="G51" s="589"/>
      <c r="H51" s="589"/>
      <c r="I51" s="589"/>
      <c r="J51" s="589"/>
      <c r="K51" s="589"/>
      <c r="L51" s="661">
        <f>SUM(D51:INDEX(D51:K51,0,MATCH('RFPR cover'!$C$7,$D$6:$K$6,0)))</f>
        <v>0</v>
      </c>
      <c r="M51" s="662">
        <f t="shared" si="14"/>
        <v>0</v>
      </c>
      <c r="N51" s="576"/>
      <c r="O51"/>
      <c r="P51"/>
      <c r="Q51"/>
      <c r="R51"/>
      <c r="S51"/>
      <c r="T51"/>
    </row>
    <row r="52" spans="1:20">
      <c r="A52" s="269" t="s">
        <v>153</v>
      </c>
      <c r="B52" s="775" t="s">
        <v>241</v>
      </c>
      <c r="C52" s="155" t="str">
        <f>'RFPR cover'!$C$14</f>
        <v>£m 12/13</v>
      </c>
      <c r="D52" s="588"/>
      <c r="E52" s="589"/>
      <c r="F52" s="589"/>
      <c r="G52" s="589"/>
      <c r="H52" s="589"/>
      <c r="I52" s="589"/>
      <c r="J52" s="589"/>
      <c r="K52" s="589"/>
      <c r="L52" s="661">
        <f>SUM(D52:INDEX(D52:K52,0,MATCH('RFPR cover'!$C$7,$D$6:$K$6,0)))</f>
        <v>0</v>
      </c>
      <c r="M52" s="662">
        <f t="shared" si="14"/>
        <v>0</v>
      </c>
      <c r="N52" s="576"/>
      <c r="O52"/>
      <c r="P52"/>
      <c r="Q52"/>
      <c r="R52"/>
      <c r="S52" s="65"/>
      <c r="T52"/>
    </row>
    <row r="53" spans="1:20">
      <c r="A53" s="269" t="s">
        <v>167</v>
      </c>
      <c r="B53" s="775" t="s">
        <v>241</v>
      </c>
      <c r="C53" s="155" t="str">
        <f>'RFPR cover'!$C$14</f>
        <v>£m 12/13</v>
      </c>
      <c r="D53" s="588"/>
      <c r="E53" s="589"/>
      <c r="F53" s="589"/>
      <c r="G53" s="589"/>
      <c r="H53" s="589"/>
      <c r="I53" s="589"/>
      <c r="J53" s="589"/>
      <c r="K53" s="589"/>
      <c r="L53" s="661">
        <f>SUM(D53:INDEX(D53:K53,0,MATCH('RFPR cover'!$C$7,$D$6:$K$6,0)))</f>
        <v>0</v>
      </c>
      <c r="M53" s="662">
        <f t="shared" si="14"/>
        <v>0</v>
      </c>
      <c r="N53" s="576"/>
      <c r="O53"/>
      <c r="P53"/>
      <c r="Q53"/>
      <c r="R53"/>
      <c r="S53"/>
      <c r="T53"/>
    </row>
    <row r="54" spans="1:20">
      <c r="A54" s="269" t="s">
        <v>168</v>
      </c>
      <c r="B54" s="775" t="s">
        <v>241</v>
      </c>
      <c r="C54" s="155" t="str">
        <f>'RFPR cover'!$C$14</f>
        <v>£m 12/13</v>
      </c>
      <c r="D54" s="588"/>
      <c r="E54" s="589"/>
      <c r="F54" s="589"/>
      <c r="G54" s="589"/>
      <c r="H54" s="589"/>
      <c r="I54" s="589"/>
      <c r="J54" s="589"/>
      <c r="K54" s="589"/>
      <c r="L54" s="661">
        <f>SUM(D54:INDEX(D54:K54,0,MATCH('RFPR cover'!$C$7,$D$6:$K$6,0)))</f>
        <v>0</v>
      </c>
      <c r="M54" s="662">
        <f t="shared" si="14"/>
        <v>0</v>
      </c>
      <c r="N54" s="576"/>
      <c r="O54"/>
      <c r="P54"/>
      <c r="Q54"/>
      <c r="R54"/>
      <c r="S54"/>
      <c r="T54"/>
    </row>
    <row r="55" spans="1:20">
      <c r="A55" s="269" t="s">
        <v>169</v>
      </c>
      <c r="B55" s="775" t="s">
        <v>241</v>
      </c>
      <c r="C55" s="155" t="str">
        <f>'RFPR cover'!$C$14</f>
        <v>£m 12/13</v>
      </c>
      <c r="D55" s="592"/>
      <c r="E55" s="593"/>
      <c r="F55" s="593"/>
      <c r="G55" s="593"/>
      <c r="H55" s="593"/>
      <c r="I55" s="593"/>
      <c r="J55" s="593"/>
      <c r="K55" s="593"/>
      <c r="L55" s="663">
        <f>SUM(D55:INDEX(D55:K55,0,MATCH('RFPR cover'!$C$7,$D$6:$K$6,0)))</f>
        <v>0</v>
      </c>
      <c r="M55" s="664">
        <f t="shared" si="14"/>
        <v>0</v>
      </c>
      <c r="N55" s="577"/>
      <c r="O55"/>
      <c r="P55"/>
      <c r="Q55"/>
      <c r="R55"/>
      <c r="S55"/>
      <c r="T55"/>
    </row>
    <row r="56" spans="1:20">
      <c r="A56" s="35"/>
      <c r="B56" s="785" t="s">
        <v>189</v>
      </c>
      <c r="C56" s="155" t="str">
        <f>'RFPR cover'!$C$14</f>
        <v>£m 12/13</v>
      </c>
      <c r="D56" s="102">
        <f>SUM(D50:D55)</f>
        <v>0</v>
      </c>
      <c r="E56" s="103">
        <f t="shared" ref="E56:K56" si="15">SUM(E50:E55)</f>
        <v>0</v>
      </c>
      <c r="F56" s="103">
        <f t="shared" si="15"/>
        <v>0</v>
      </c>
      <c r="G56" s="103">
        <f t="shared" si="15"/>
        <v>0</v>
      </c>
      <c r="H56" s="103">
        <f t="shared" si="15"/>
        <v>0</v>
      </c>
      <c r="I56" s="103">
        <f t="shared" si="15"/>
        <v>0</v>
      </c>
      <c r="J56" s="103">
        <f t="shared" si="15"/>
        <v>0</v>
      </c>
      <c r="K56" s="103">
        <f t="shared" si="15"/>
        <v>0</v>
      </c>
      <c r="L56" s="355">
        <f>SUM(D56:INDEX(D56:K56,0,MATCH('RFPR cover'!$C$7,$D$6:$K$6,0)))</f>
        <v>0</v>
      </c>
      <c r="M56" s="356">
        <f t="shared" si="14"/>
        <v>0</v>
      </c>
      <c r="N56" s="353"/>
    </row>
    <row r="57" spans="1:20">
      <c r="A57" s="35"/>
      <c r="B57" s="777"/>
      <c r="N57" s="351"/>
    </row>
    <row r="58" spans="1:20">
      <c r="A58" s="35"/>
      <c r="B58" s="784" t="s">
        <v>197</v>
      </c>
      <c r="C58" s="159" t="str">
        <f>'RFPR cover'!$C$14</f>
        <v>£m 12/13</v>
      </c>
      <c r="D58" s="95">
        <f t="shared" ref="D58:K58" si="16">D56*D44</f>
        <v>0</v>
      </c>
      <c r="E58" s="96">
        <f t="shared" si="16"/>
        <v>0</v>
      </c>
      <c r="F58" s="96">
        <f t="shared" si="16"/>
        <v>0</v>
      </c>
      <c r="G58" s="96">
        <f t="shared" si="16"/>
        <v>0</v>
      </c>
      <c r="H58" s="96">
        <f t="shared" si="16"/>
        <v>0</v>
      </c>
      <c r="I58" s="96">
        <f t="shared" si="16"/>
        <v>0</v>
      </c>
      <c r="J58" s="96">
        <f t="shared" si="16"/>
        <v>0</v>
      </c>
      <c r="K58" s="96">
        <f t="shared" si="16"/>
        <v>0</v>
      </c>
      <c r="L58" s="357">
        <f>SUM(D58:INDEX(D58:K58,0,MATCH('RFPR cover'!$C$7,$D$6:$K$6,0)))</f>
        <v>0</v>
      </c>
      <c r="M58" s="578">
        <f>SUM(D58:K58)</f>
        <v>0</v>
      </c>
      <c r="N58" s="353"/>
    </row>
    <row r="59" spans="1:20">
      <c r="A59" s="35"/>
      <c r="B59" s="784" t="s">
        <v>307</v>
      </c>
      <c r="C59" s="159" t="str">
        <f>'RFPR cover'!$C$14</f>
        <v>£m 12/13</v>
      </c>
      <c r="D59" s="92">
        <f t="shared" ref="D59:K59" si="17">D56*(1-D44)</f>
        <v>0</v>
      </c>
      <c r="E59" s="93">
        <f t="shared" si="17"/>
        <v>0</v>
      </c>
      <c r="F59" s="93">
        <f t="shared" si="17"/>
        <v>0</v>
      </c>
      <c r="G59" s="93">
        <f t="shared" si="17"/>
        <v>0</v>
      </c>
      <c r="H59" s="93">
        <f t="shared" si="17"/>
        <v>0</v>
      </c>
      <c r="I59" s="93">
        <f t="shared" si="17"/>
        <v>0</v>
      </c>
      <c r="J59" s="93">
        <f t="shared" si="17"/>
        <v>0</v>
      </c>
      <c r="K59" s="93">
        <f t="shared" si="17"/>
        <v>0</v>
      </c>
      <c r="L59" s="358">
        <f>SUM(D59:INDEX(D59:K59,0,MATCH('RFPR cover'!$C$7,$D$6:$K$6,0)))</f>
        <v>0</v>
      </c>
      <c r="M59" s="579">
        <f>SUM(D59:K59)</f>
        <v>0</v>
      </c>
      <c r="N59" s="353"/>
    </row>
    <row r="60" spans="1:20">
      <c r="A60" s="35"/>
      <c r="B60" s="777"/>
      <c r="N60" s="351"/>
    </row>
    <row r="61" spans="1:20">
      <c r="A61" s="35"/>
      <c r="B61" s="785" t="s">
        <v>180</v>
      </c>
      <c r="N61" s="351"/>
    </row>
    <row r="62" spans="1:20">
      <c r="A62" s="35"/>
      <c r="B62" s="777" t="s">
        <v>179</v>
      </c>
      <c r="C62" s="155" t="str">
        <f>'RFPR cover'!$C$14</f>
        <v>£m 12/13</v>
      </c>
      <c r="D62" s="95">
        <f>D46+D58</f>
        <v>0</v>
      </c>
      <c r="E62" s="96">
        <f t="shared" ref="E62:K62" si="18">E46+E58</f>
        <v>0</v>
      </c>
      <c r="F62" s="96">
        <f t="shared" si="18"/>
        <v>0</v>
      </c>
      <c r="G62" s="96">
        <f t="shared" si="18"/>
        <v>0</v>
      </c>
      <c r="H62" s="96">
        <f t="shared" si="18"/>
        <v>0</v>
      </c>
      <c r="I62" s="96">
        <f t="shared" si="18"/>
        <v>0</v>
      </c>
      <c r="J62" s="96">
        <f t="shared" si="18"/>
        <v>0</v>
      </c>
      <c r="K62" s="96">
        <f t="shared" si="18"/>
        <v>0</v>
      </c>
      <c r="L62" s="357">
        <f>SUM(D62:INDEX(D62:K62,0,MATCH('RFPR cover'!$C$7,$D$6:$K$6,0)))</f>
        <v>0</v>
      </c>
      <c r="M62" s="578">
        <f>SUM(D62:K62)</f>
        <v>0</v>
      </c>
      <c r="N62" s="353"/>
    </row>
    <row r="63" spans="1:20">
      <c r="A63" s="35"/>
      <c r="B63" s="777" t="s">
        <v>278</v>
      </c>
      <c r="C63" s="155" t="str">
        <f>'RFPR cover'!$C$14</f>
        <v>£m 12/13</v>
      </c>
      <c r="D63" s="98">
        <f>D47+D59</f>
        <v>0</v>
      </c>
      <c r="E63" s="99">
        <f t="shared" ref="E63:K63" si="19">E47+E59</f>
        <v>0</v>
      </c>
      <c r="F63" s="99">
        <f t="shared" si="19"/>
        <v>0</v>
      </c>
      <c r="G63" s="99">
        <f t="shared" si="19"/>
        <v>0</v>
      </c>
      <c r="H63" s="99">
        <f t="shared" si="19"/>
        <v>0</v>
      </c>
      <c r="I63" s="99">
        <f t="shared" si="19"/>
        <v>0</v>
      </c>
      <c r="J63" s="99">
        <f t="shared" si="19"/>
        <v>0</v>
      </c>
      <c r="K63" s="99">
        <f t="shared" si="19"/>
        <v>0</v>
      </c>
      <c r="L63" s="359">
        <f>SUM(D63:INDEX(D63:K63,0,MATCH('RFPR cover'!$C$7,$D$6:$K$6,0)))</f>
        <v>0</v>
      </c>
      <c r="M63" s="579">
        <f>SUM(D63:K63)</f>
        <v>0</v>
      </c>
      <c r="N63" s="353"/>
    </row>
    <row r="64" spans="1:20">
      <c r="A64" s="35"/>
      <c r="B64" s="785" t="s">
        <v>11</v>
      </c>
      <c r="C64" s="156" t="str">
        <f>'RFPR cover'!$C$14</f>
        <v>£m 12/13</v>
      </c>
      <c r="D64" s="139">
        <f>SUM(D62:D63)</f>
        <v>0</v>
      </c>
      <c r="E64" s="140">
        <f t="shared" ref="E64:K64" si="20">SUM(E62:E63)</f>
        <v>0</v>
      </c>
      <c r="F64" s="140">
        <f t="shared" si="20"/>
        <v>0</v>
      </c>
      <c r="G64" s="140">
        <f t="shared" si="20"/>
        <v>0</v>
      </c>
      <c r="H64" s="140">
        <f t="shared" si="20"/>
        <v>0</v>
      </c>
      <c r="I64" s="140">
        <f t="shared" si="20"/>
        <v>0</v>
      </c>
      <c r="J64" s="140">
        <f t="shared" si="20"/>
        <v>0</v>
      </c>
      <c r="K64" s="140">
        <f t="shared" si="20"/>
        <v>0</v>
      </c>
      <c r="L64" s="360">
        <f>SUM(D64:INDEX(D64:K64,0,MATCH('RFPR cover'!$C$7,$D$6:$K$6,0)))</f>
        <v>0</v>
      </c>
      <c r="M64" s="361">
        <f>SUM(D64:K64)</f>
        <v>0</v>
      </c>
      <c r="N64" s="354"/>
    </row>
    <row r="65" spans="1:20">
      <c r="A65" s="35"/>
      <c r="B65" s="785"/>
      <c r="C65" s="156"/>
      <c r="D65" s="156"/>
      <c r="E65" s="156"/>
      <c r="F65" s="156"/>
      <c r="G65" s="156"/>
      <c r="H65" s="156"/>
      <c r="I65" s="156"/>
      <c r="J65" s="156"/>
      <c r="K65" s="156"/>
      <c r="L65" s="156"/>
      <c r="M65" s="156"/>
    </row>
    <row r="66" spans="1:20">
      <c r="A66" s="35"/>
      <c r="B66" s="780" t="s">
        <v>255</v>
      </c>
      <c r="C66" s="150"/>
      <c r="D66" s="82"/>
      <c r="E66" s="82"/>
      <c r="F66" s="82"/>
      <c r="G66" s="82"/>
      <c r="H66" s="82"/>
      <c r="I66" s="82"/>
      <c r="J66" s="82"/>
      <c r="K66" s="82"/>
      <c r="L66" s="82"/>
      <c r="M66" s="82"/>
      <c r="N66" s="82"/>
    </row>
    <row r="67" spans="1:20">
      <c r="A67" s="35"/>
      <c r="B67" s="777"/>
      <c r="O67"/>
      <c r="P67"/>
      <c r="Q67"/>
      <c r="R67"/>
      <c r="S67"/>
      <c r="T67"/>
    </row>
    <row r="68" spans="1:20">
      <c r="A68" s="35"/>
      <c r="B68" s="785" t="s">
        <v>180</v>
      </c>
    </row>
    <row r="69" spans="1:20">
      <c r="A69" s="35"/>
      <c r="B69" s="777" t="s">
        <v>179</v>
      </c>
      <c r="C69" s="155" t="str">
        <f>'RFPR cover'!$C$14</f>
        <v>£m 12/13</v>
      </c>
      <c r="D69" s="95">
        <f>D34+D62</f>
        <v>0</v>
      </c>
      <c r="E69" s="96">
        <f t="shared" ref="E69:K69" si="21">E34+E62</f>
        <v>0</v>
      </c>
      <c r="F69" s="96">
        <f t="shared" si="21"/>
        <v>0</v>
      </c>
      <c r="G69" s="96">
        <f t="shared" si="21"/>
        <v>-6.7653666090379261E-3</v>
      </c>
      <c r="H69" s="96">
        <f t="shared" si="21"/>
        <v>-4.0223007778253628</v>
      </c>
      <c r="I69" s="96">
        <f t="shared" si="21"/>
        <v>-4.0415337114962036</v>
      </c>
      <c r="J69" s="96">
        <f t="shared" si="21"/>
        <v>-4.064405642383262</v>
      </c>
      <c r="K69" s="96">
        <f t="shared" si="21"/>
        <v>-4.0789966120848842</v>
      </c>
      <c r="L69" s="95">
        <f>SUM(D69:INDEX(D69:K69,0,MATCH('RFPR cover'!$C$7,$D$6:$K$6,0)))</f>
        <v>-8.0705998559306042</v>
      </c>
      <c r="M69" s="97">
        <f>SUM(D69:K69)</f>
        <v>-16.214002110398752</v>
      </c>
    </row>
    <row r="70" spans="1:20">
      <c r="A70" s="35"/>
      <c r="B70" s="777" t="s">
        <v>278</v>
      </c>
      <c r="C70" s="155" t="str">
        <f>'RFPR cover'!$C$14</f>
        <v>£m 12/13</v>
      </c>
      <c r="D70" s="522">
        <f t="shared" ref="D70:K70" si="22">D35+D63</f>
        <v>0</v>
      </c>
      <c r="E70" s="523">
        <f t="shared" si="22"/>
        <v>0</v>
      </c>
      <c r="F70" s="523">
        <f t="shared" si="22"/>
        <v>0</v>
      </c>
      <c r="G70" s="523">
        <f t="shared" si="22"/>
        <v>-7.783808894266997E-3</v>
      </c>
      <c r="H70" s="523">
        <f t="shared" si="22"/>
        <v>-4.6278084217990756</v>
      </c>
      <c r="I70" s="523">
        <f t="shared" si="22"/>
        <v>-4.6499366358074603</v>
      </c>
      <c r="J70" s="523">
        <f t="shared" si="22"/>
        <v>-4.6762516530646128</v>
      </c>
      <c r="K70" s="523">
        <f t="shared" si="22"/>
        <v>-4.6930391128288464</v>
      </c>
      <c r="L70" s="522">
        <f>SUM(D70:INDEX(D70:K70,0,MATCH('RFPR cover'!$C$7,$D$6:$K$6,0)))</f>
        <v>-9.2855288665008029</v>
      </c>
      <c r="M70" s="524">
        <f>SUM(D70:K70)</f>
        <v>-18.654819632394261</v>
      </c>
    </row>
    <row r="71" spans="1:20">
      <c r="A71" s="35"/>
      <c r="B71" s="785" t="s">
        <v>11</v>
      </c>
      <c r="C71" s="156" t="str">
        <f>'RFPR cover'!$C$14</f>
        <v>£m 12/13</v>
      </c>
      <c r="D71" s="145">
        <f>SUM(D69:D70)</f>
        <v>0</v>
      </c>
      <c r="E71" s="146">
        <f t="shared" ref="E71:K71" si="23">SUM(E69:E70)</f>
        <v>0</v>
      </c>
      <c r="F71" s="146">
        <f t="shared" si="23"/>
        <v>0</v>
      </c>
      <c r="G71" s="146">
        <f t="shared" si="23"/>
        <v>-1.4549175503304923E-2</v>
      </c>
      <c r="H71" s="146">
        <f t="shared" si="23"/>
        <v>-8.6501091996244384</v>
      </c>
      <c r="I71" s="146">
        <f t="shared" si="23"/>
        <v>-8.6914703473036639</v>
      </c>
      <c r="J71" s="146">
        <f t="shared" si="23"/>
        <v>-8.7406572954478747</v>
      </c>
      <c r="K71" s="146">
        <f t="shared" si="23"/>
        <v>-8.7720357249137315</v>
      </c>
      <c r="L71" s="145">
        <f>SUM(D71:INDEX(D71:K71,0,MATCH('RFPR cover'!$C$7,$D$6:$K$6,0)))</f>
        <v>-17.356128722431407</v>
      </c>
      <c r="M71" s="147">
        <f>SUM(D71:K71)</f>
        <v>-34.868821742793017</v>
      </c>
    </row>
    <row r="72" spans="1:20">
      <c r="A72" s="35"/>
      <c r="B72" s="785"/>
      <c r="C72" s="156"/>
      <c r="D72" s="156"/>
      <c r="E72" s="156"/>
      <c r="F72" s="156"/>
      <c r="G72" s="156"/>
      <c r="H72" s="156"/>
      <c r="I72" s="156"/>
      <c r="J72" s="156"/>
      <c r="K72" s="156"/>
      <c r="L72" s="156"/>
      <c r="M72" s="156"/>
    </row>
    <row r="73" spans="1:20">
      <c r="A73" s="35"/>
      <c r="B73" s="777"/>
    </row>
    <row r="74" spans="1:20">
      <c r="A74" s="35"/>
      <c r="B74" s="780" t="s">
        <v>213</v>
      </c>
      <c r="C74" s="150"/>
      <c r="D74" s="81"/>
      <c r="E74" s="81"/>
      <c r="F74" s="81"/>
      <c r="G74" s="81"/>
      <c r="H74" s="81"/>
      <c r="I74" s="81"/>
      <c r="J74" s="81"/>
      <c r="K74" s="81"/>
      <c r="L74" s="81"/>
      <c r="M74" s="81"/>
      <c r="N74" s="81"/>
    </row>
    <row r="75" spans="1:20">
      <c r="A75" s="35"/>
      <c r="B75" s="369" t="s">
        <v>212</v>
      </c>
      <c r="C75" s="368"/>
      <c r="D75" s="368"/>
      <c r="E75" s="368"/>
      <c r="F75" s="368"/>
      <c r="G75" s="368"/>
      <c r="H75" s="368"/>
      <c r="I75" s="368"/>
      <c r="J75" s="368"/>
      <c r="K75" s="368"/>
      <c r="L75" s="368"/>
      <c r="M75" s="368"/>
      <c r="N75" s="368"/>
    </row>
    <row r="76" spans="1:20" s="35" customFormat="1">
      <c r="B76" s="429"/>
      <c r="C76" s="373"/>
      <c r="D76" s="373"/>
      <c r="E76" s="373"/>
      <c r="F76" s="373"/>
      <c r="G76" s="373"/>
      <c r="H76" s="373"/>
      <c r="I76" s="373"/>
      <c r="J76" s="373"/>
      <c r="K76" s="373"/>
      <c r="L76" s="373"/>
      <c r="M76" s="373"/>
      <c r="N76" s="373"/>
    </row>
    <row r="77" spans="1:20">
      <c r="A77" s="35"/>
      <c r="B77" s="784" t="s">
        <v>216</v>
      </c>
      <c r="C77" s="155" t="str">
        <f>'RFPR cover'!$C$14</f>
        <v>£m 12/13</v>
      </c>
      <c r="D77" s="665">
        <f>INDEX(Data!$C$119:$L$146,MATCH('RFPR cover'!$C$5,Data!$B$119:$B$146,0),MATCH('R4 - Totex'!D$6,Data!$C$118:$L$118,0))</f>
        <v>-1.8633532543800757</v>
      </c>
      <c r="E77" s="666">
        <f>INDEX(Data!$C$119:$L$146,MATCH('RFPR cover'!$C$5,Data!$B$119:$B$146,0),MATCH('R4 - Totex'!E$6,Data!$C$118:$L$118,0))</f>
        <v>-1.8182980405067262</v>
      </c>
      <c r="F77" s="666">
        <f>INDEX(Data!$C$119:$L$146,MATCH('RFPR cover'!$C$5,Data!$B$119:$B$146,0),MATCH('R4 - Totex'!F$6,Data!$C$118:$L$118,0))</f>
        <v>-1.83946756302578</v>
      </c>
      <c r="G77" s="666">
        <f>INDEX(Data!$C$119:$L$146,MATCH('RFPR cover'!$C$5,Data!$B$119:$B$146,0),MATCH('R4 - Totex'!G$6,Data!$C$118:$L$118,0))</f>
        <v>-1.7415973428180247</v>
      </c>
      <c r="H77" s="666">
        <f>INDEX(Data!$C$119:$L$146,MATCH('RFPR cover'!$C$5,Data!$B$119:$B$146,0),MATCH('R4 - Totex'!H$6,Data!$C$118:$L$118,0))</f>
        <v>-1.6798002111470465</v>
      </c>
      <c r="I77" s="666">
        <f>INDEX(Data!$C$119:$L$146,MATCH('RFPR cover'!$C$5,Data!$B$119:$B$146,0),MATCH('R4 - Totex'!I$6,Data!$C$118:$L$118,0))</f>
        <v>-1.5974456358596774</v>
      </c>
      <c r="J77" s="666">
        <f>INDEX(Data!$C$119:$L$146,MATCH('RFPR cover'!$C$5,Data!$B$119:$B$146,0),MATCH('R4 - Totex'!J$6,Data!$C$118:$L$118,0))</f>
        <v>-1.5016396120831343</v>
      </c>
      <c r="K77" s="667">
        <f>INDEX(Data!$C$119:$L$146,MATCH('RFPR cover'!$C$5,Data!$B$119:$B$146,0),MATCH('R4 - Totex'!K$6,Data!$C$118:$L$118,0))</f>
        <v>-1.4453638876860204</v>
      </c>
      <c r="L77" s="98">
        <f>SUM(D77:INDEX(D77:K77,0,MATCH('RFPR cover'!$C$7,$D$6:$K$6,0)))</f>
        <v>-10.53996204773733</v>
      </c>
      <c r="M77" s="100">
        <f>SUM(D77:K77)</f>
        <v>-13.486965547506486</v>
      </c>
    </row>
    <row r="78" spans="1:20">
      <c r="A78" s="35"/>
      <c r="B78" s="225" t="s">
        <v>200</v>
      </c>
      <c r="C78" s="155" t="s">
        <v>7</v>
      </c>
      <c r="D78" s="889" t="str">
        <f>IF(INDEX(Data!$J$73:$J$100,MATCH('RFPR cover'!$C$5,Data!$B$73:$B$100,0),0)="Pre",INDEX(Data!$G$18:$G$27,MATCH('R4 - Totex'!D$6,Data!$C$18:$C$27,0),0),"n/a")</f>
        <v>n/a</v>
      </c>
      <c r="E78" s="889" t="str">
        <f>IF(INDEX(Data!$J$73:$J$100,MATCH('RFPR cover'!$C$5,Data!$B$73:$B$100,0),0)="Pre",INDEX(Data!$G$18:$G$27,MATCH('R4 - Totex'!E$6,Data!$C$18:$C$27,0),0),"n/a")</f>
        <v>n/a</v>
      </c>
      <c r="F78" s="889" t="str">
        <f>IF(INDEX(Data!$J$73:$J$100,MATCH('RFPR cover'!$C$5,Data!$B$73:$B$100,0),0)="Pre",INDEX(Data!$G$18:$G$27,MATCH('R4 - Totex'!F$6,Data!$C$18:$C$27,0),0),"n/a")</f>
        <v>n/a</v>
      </c>
      <c r="G78" s="889" t="str">
        <f>IF(INDEX(Data!$J$73:$J$100,MATCH('RFPR cover'!$C$5,Data!$B$73:$B$100,0),0)="Pre",INDEX(Data!$G$18:$G$27,MATCH('R4 - Totex'!G$6,Data!$C$18:$C$27,0),0),"n/a")</f>
        <v>n/a</v>
      </c>
      <c r="H78" s="889" t="str">
        <f>IF(INDEX(Data!$J$73:$J$100,MATCH('RFPR cover'!$C$5,Data!$B$73:$B$100,0),0)="Pre",INDEX(Data!$G$18:$G$27,MATCH('R4 - Totex'!H$6,Data!$C$18:$C$27,0),0),"n/a")</f>
        <v>n/a</v>
      </c>
      <c r="I78" s="889" t="str">
        <f>IF(INDEX(Data!$J$73:$J$100,MATCH('RFPR cover'!$C$5,Data!$B$73:$B$100,0),0)="Pre",INDEX(Data!$G$18:$G$27,MATCH('R4 - Totex'!I$6,Data!$C$18:$C$27,0),0),"n/a")</f>
        <v>n/a</v>
      </c>
      <c r="J78" s="889" t="str">
        <f>IF(INDEX(Data!$J$73:$J$100,MATCH('RFPR cover'!$C$5,Data!$B$73:$B$100,0),0)="Pre",INDEX(Data!$G$18:$G$27,MATCH('R4 - Totex'!J$6,Data!$C$18:$C$27,0),0),"n/a")</f>
        <v>n/a</v>
      </c>
      <c r="K78" s="889" t="str">
        <f>IF(INDEX(Data!$J$73:$J$100,MATCH('RFPR cover'!$C$5,Data!$B$73:$B$100,0),0)="Pre",INDEX(Data!$G$18:$G$27,MATCH('R4 - Totex'!K$6,Data!$C$18:$C$27,0),0),"n/a")</f>
        <v>n/a</v>
      </c>
      <c r="L78" s="887"/>
      <c r="M78" s="888"/>
    </row>
    <row r="79" spans="1:20">
      <c r="A79" s="35"/>
      <c r="B79" s="225" t="s">
        <v>209</v>
      </c>
      <c r="C79" s="155" t="str">
        <f>'RFPR cover'!$C$14</f>
        <v>£m 12/13</v>
      </c>
      <c r="D79" s="612">
        <f>IF(ISNUMBER(D78),D77*(1-D78),D77)</f>
        <v>-1.8633532543800757</v>
      </c>
      <c r="E79" s="613">
        <f t="shared" ref="E79:K79" si="24">IF(ISNUMBER(E78),E77*(1-E78),E77)</f>
        <v>-1.8182980405067262</v>
      </c>
      <c r="F79" s="613">
        <f t="shared" si="24"/>
        <v>-1.83946756302578</v>
      </c>
      <c r="G79" s="613">
        <f t="shared" si="24"/>
        <v>-1.7415973428180247</v>
      </c>
      <c r="H79" s="613">
        <f t="shared" si="24"/>
        <v>-1.6798002111470465</v>
      </c>
      <c r="I79" s="613">
        <f t="shared" si="24"/>
        <v>-1.5974456358596774</v>
      </c>
      <c r="J79" s="613">
        <f t="shared" si="24"/>
        <v>-1.5016396120831343</v>
      </c>
      <c r="K79" s="614">
        <f t="shared" si="24"/>
        <v>-1.4453638876860204</v>
      </c>
      <c r="L79" s="671">
        <f>SUM(D79:INDEX(D79:K79,0,MATCH('RFPR cover'!$C$7,$D$6:$K$6,0)))</f>
        <v>-10.53996204773733</v>
      </c>
      <c r="M79" s="672">
        <f>SUM(D79:K79)</f>
        <v>-13.486965547506486</v>
      </c>
    </row>
    <row r="80" spans="1:20">
      <c r="A80" s="35"/>
      <c r="B80" s="225"/>
      <c r="C80" s="66"/>
      <c r="D80" s="282"/>
      <c r="E80" s="282"/>
      <c r="F80" s="282"/>
      <c r="G80" s="282"/>
      <c r="H80" s="282"/>
      <c r="I80" s="282"/>
      <c r="J80" s="282"/>
      <c r="K80" s="282"/>
      <c r="L80" s="283"/>
      <c r="M80" s="283"/>
    </row>
    <row r="81" spans="1:20">
      <c r="A81" s="35"/>
      <c r="B81" s="225"/>
      <c r="C81" s="66"/>
      <c r="D81" s="282"/>
      <c r="E81" s="282"/>
      <c r="F81" s="282"/>
      <c r="G81" s="282"/>
      <c r="H81" s="282"/>
      <c r="I81" s="282"/>
      <c r="J81" s="282"/>
      <c r="K81" s="282"/>
      <c r="L81" s="283"/>
      <c r="M81" s="283"/>
    </row>
    <row r="82" spans="1:20">
      <c r="A82" s="35"/>
      <c r="B82" s="225"/>
      <c r="C82" s="66"/>
      <c r="D82" s="282"/>
      <c r="E82" s="282"/>
      <c r="F82" s="282"/>
      <c r="G82" s="282"/>
      <c r="H82" s="282"/>
      <c r="I82" s="282"/>
      <c r="J82" s="282"/>
      <c r="K82" s="282"/>
      <c r="L82" s="283"/>
      <c r="M82" s="283"/>
    </row>
    <row r="83" spans="1:20">
      <c r="A83" s="35"/>
      <c r="B83" s="777"/>
    </row>
    <row r="84" spans="1:20">
      <c r="A84" s="35"/>
      <c r="B84" s="779" t="s">
        <v>186</v>
      </c>
      <c r="C84" s="291"/>
      <c r="D84" s="293"/>
      <c r="E84" s="293"/>
      <c r="F84" s="293"/>
      <c r="G84" s="293"/>
      <c r="H84" s="293"/>
      <c r="I84" s="293"/>
      <c r="J84" s="293"/>
      <c r="K84" s="293"/>
      <c r="L84" s="293"/>
      <c r="M84" s="293"/>
      <c r="N84" s="293"/>
    </row>
    <row r="85" spans="1:20">
      <c r="A85" s="35"/>
      <c r="B85" s="785"/>
    </row>
    <row r="86" spans="1:20">
      <c r="A86" s="35"/>
      <c r="B86" s="784" t="str">
        <f>Data!B34</f>
        <v>Financial Year Average RPI (RPIt)</v>
      </c>
      <c r="C86" s="136" t="s">
        <v>127</v>
      </c>
      <c r="D86" s="112">
        <f>Data!C$34</f>
        <v>1.0603167467048125</v>
      </c>
      <c r="E86" s="113">
        <f>Data!D$34</f>
        <v>1.0830366813119445</v>
      </c>
      <c r="F86" s="113">
        <f>Data!E$34</f>
        <v>1.1235639113109226</v>
      </c>
      <c r="G86" s="113">
        <f>Data!F$34</f>
        <v>1.1578951670583426</v>
      </c>
      <c r="H86" s="113">
        <f>Data!G$34</f>
        <v>1.1878696229692449</v>
      </c>
      <c r="I86" s="113">
        <f>Data!H$34</f>
        <v>1.202275126868976</v>
      </c>
      <c r="J86" s="113">
        <f>Data!I$34</f>
        <v>1.2341354177310038</v>
      </c>
      <c r="K86" s="114">
        <f>Data!J$34</f>
        <v>1.2720850818262321</v>
      </c>
    </row>
    <row r="87" spans="1:20">
      <c r="A87" s="35"/>
      <c r="B87" s="784"/>
      <c r="D87" s="136"/>
      <c r="E87" s="136"/>
      <c r="F87" s="136"/>
      <c r="G87" s="136"/>
      <c r="H87" s="136"/>
      <c r="I87" s="136"/>
      <c r="J87" s="136"/>
      <c r="K87" s="136"/>
    </row>
    <row r="88" spans="1:20">
      <c r="A88" s="35"/>
      <c r="B88" s="780" t="str">
        <f>B10</f>
        <v>Totex</v>
      </c>
      <c r="C88" s="150"/>
      <c r="D88" s="82"/>
      <c r="E88" s="82"/>
      <c r="F88" s="82"/>
      <c r="G88" s="82"/>
      <c r="H88" s="82"/>
      <c r="I88" s="82"/>
      <c r="J88" s="82"/>
      <c r="K88" s="82"/>
      <c r="L88" s="82"/>
      <c r="M88" s="82"/>
      <c r="N88" s="82"/>
    </row>
    <row r="89" spans="1:20" s="35" customFormat="1">
      <c r="B89" s="781"/>
      <c r="C89" s="138"/>
      <c r="D89" s="320"/>
      <c r="E89" s="320"/>
      <c r="F89" s="320"/>
      <c r="G89" s="320"/>
      <c r="H89" s="320"/>
      <c r="I89" s="320"/>
      <c r="J89" s="320"/>
      <c r="K89" s="320"/>
      <c r="L89" s="320"/>
      <c r="M89" s="320"/>
      <c r="N89" s="320"/>
    </row>
    <row r="90" spans="1:20">
      <c r="A90" s="35"/>
      <c r="B90" s="305" t="s">
        <v>34</v>
      </c>
      <c r="C90" s="155" t="s">
        <v>128</v>
      </c>
      <c r="D90" s="674">
        <f t="shared" ref="D90:K91" si="25">D12*D$86</f>
        <v>192.97072315738123</v>
      </c>
      <c r="E90" s="674">
        <f t="shared" si="25"/>
        <v>212.53390837898672</v>
      </c>
      <c r="F90" s="674">
        <f t="shared" si="25"/>
        <v>224.48655142928473</v>
      </c>
      <c r="G90" s="674">
        <f t="shared" si="25"/>
        <v>255.14579954023313</v>
      </c>
      <c r="H90" s="674">
        <f t="shared" si="25"/>
        <v>251.72428441354469</v>
      </c>
      <c r="I90" s="674">
        <f t="shared" si="25"/>
        <v>249.6442735491265</v>
      </c>
      <c r="J90" s="674">
        <f t="shared" si="25"/>
        <v>236.32304593667459</v>
      </c>
      <c r="K90" s="674">
        <f t="shared" si="25"/>
        <v>241.91921206574079</v>
      </c>
      <c r="L90" s="673">
        <f>SUM(D90:INDEX(D90:K90,0,MATCH('RFPR cover'!$C$7,$D$6:$K$6,0)))</f>
        <v>1386.505540468557</v>
      </c>
      <c r="M90" s="674">
        <f>SUM(D90:K90)</f>
        <v>1864.7477984709724</v>
      </c>
      <c r="N90" s="63"/>
      <c r="O90" s="63"/>
    </row>
    <row r="91" spans="1:20" ht="25.5">
      <c r="A91" s="35"/>
      <c r="B91" s="782" t="s">
        <v>196</v>
      </c>
      <c r="C91" s="155" t="s">
        <v>128</v>
      </c>
      <c r="D91" s="674">
        <f t="shared" si="25"/>
        <v>217.44923447319576</v>
      </c>
      <c r="E91" s="674">
        <f t="shared" si="25"/>
        <v>220.83394050296678</v>
      </c>
      <c r="F91" s="674">
        <f t="shared" si="25"/>
        <v>234.39765187211606</v>
      </c>
      <c r="G91" s="674">
        <f t="shared" si="25"/>
        <v>229.46299262487068</v>
      </c>
      <c r="H91" s="674">
        <f t="shared" si="25"/>
        <v>227.1946469843131</v>
      </c>
      <c r="I91" s="674">
        <f t="shared" si="25"/>
        <v>218.75605777787143</v>
      </c>
      <c r="J91" s="674">
        <f t="shared" si="25"/>
        <v>230.47243286503749</v>
      </c>
      <c r="K91" s="674">
        <f t="shared" si="25"/>
        <v>240.42219948331962</v>
      </c>
      <c r="L91" s="675">
        <f>SUM(D91:INDEX(D91:K91,0,MATCH('RFPR cover'!$C$7,$D$6:$K$6,0)))</f>
        <v>1348.0945242353337</v>
      </c>
      <c r="M91" s="676">
        <f>SUM(D91:K91)</f>
        <v>1818.9891565836908</v>
      </c>
      <c r="N91" s="63"/>
      <c r="O91" s="63"/>
    </row>
    <row r="92" spans="1:20">
      <c r="A92" s="35"/>
      <c r="B92" s="783" t="s">
        <v>194</v>
      </c>
      <c r="C92" s="155" t="s">
        <v>128</v>
      </c>
      <c r="D92" s="102">
        <f>D91-D90</f>
        <v>24.478511315814529</v>
      </c>
      <c r="E92" s="103">
        <f t="shared" ref="E92:M92" si="26">E91-E90</f>
        <v>8.3000321239800599</v>
      </c>
      <c r="F92" s="103">
        <f t="shared" si="26"/>
        <v>9.9111004428313265</v>
      </c>
      <c r="G92" s="103">
        <f t="shared" si="26"/>
        <v>-25.682806915362448</v>
      </c>
      <c r="H92" s="103">
        <f t="shared" si="26"/>
        <v>-24.529637429231599</v>
      </c>
      <c r="I92" s="103">
        <f t="shared" si="26"/>
        <v>-30.888215771255062</v>
      </c>
      <c r="J92" s="103">
        <f t="shared" si="26"/>
        <v>-5.850613071637099</v>
      </c>
      <c r="K92" s="104">
        <f t="shared" si="26"/>
        <v>-1.4970125824211777</v>
      </c>
      <c r="L92" s="102">
        <f t="shared" si="26"/>
        <v>-38.411016233223336</v>
      </c>
      <c r="M92" s="104">
        <f t="shared" si="26"/>
        <v>-45.758641887281556</v>
      </c>
      <c r="N92" s="63"/>
      <c r="O92" s="999"/>
      <c r="P92" s="999"/>
      <c r="Q92" s="999"/>
      <c r="R92"/>
      <c r="S92"/>
      <c r="T92"/>
    </row>
    <row r="93" spans="1:20">
      <c r="A93" s="35"/>
      <c r="B93" s="783"/>
      <c r="C93" s="155"/>
      <c r="D93" s="59"/>
      <c r="E93" s="59"/>
      <c r="F93" s="59"/>
      <c r="G93" s="59"/>
      <c r="H93" s="59"/>
      <c r="I93" s="59"/>
      <c r="J93" s="59"/>
      <c r="K93" s="59"/>
      <c r="L93" s="59"/>
      <c r="M93" s="59"/>
      <c r="O93" s="64"/>
      <c r="P93" s="64"/>
      <c r="Q93" s="64"/>
      <c r="R93"/>
      <c r="S93"/>
      <c r="T93"/>
    </row>
    <row r="94" spans="1:20">
      <c r="A94" s="35"/>
      <c r="B94" s="777" t="s">
        <v>177</v>
      </c>
      <c r="C94" s="136" t="s">
        <v>7</v>
      </c>
      <c r="D94" s="109">
        <f>1-INDEX(Data!$D$73:$D$100,MATCH('RFPR cover'!$C$5,Data!$B$73:$B$100,0),0)</f>
        <v>0.46499999999999997</v>
      </c>
      <c r="E94" s="110">
        <f>1-INDEX(Data!$D$73:$D$100,MATCH('RFPR cover'!$C$5,Data!$B$73:$B$100,0),0)</f>
        <v>0.46499999999999997</v>
      </c>
      <c r="F94" s="110">
        <f>1-INDEX(Data!$D$73:$D$100,MATCH('RFPR cover'!$C$5,Data!$B$73:$B$100,0),0)</f>
        <v>0.46499999999999997</v>
      </c>
      <c r="G94" s="110">
        <f>1-INDEX(Data!$D$73:$D$100,MATCH('RFPR cover'!$C$5,Data!$B$73:$B$100,0),0)</f>
        <v>0.46499999999999997</v>
      </c>
      <c r="H94" s="110">
        <f>1-INDEX(Data!$D$73:$D$100,MATCH('RFPR cover'!$C$5,Data!$B$73:$B$100,0),0)</f>
        <v>0.46499999999999997</v>
      </c>
      <c r="I94" s="110">
        <f>1-INDEX(Data!$D$73:$D$100,MATCH('RFPR cover'!$C$5,Data!$B$73:$B$100,0),0)</f>
        <v>0.46499999999999997</v>
      </c>
      <c r="J94" s="110">
        <f>1-INDEX(Data!$D$73:$D$100,MATCH('RFPR cover'!$C$5,Data!$B$73:$B$100,0),0)</f>
        <v>0.46499999999999997</v>
      </c>
      <c r="K94" s="111">
        <f>1-INDEX(Data!$D$73:$D$100,MATCH('RFPR cover'!$C$5,Data!$B$73:$B$100,0),0)</f>
        <v>0.46499999999999997</v>
      </c>
      <c r="L94" s="62"/>
      <c r="M94" s="62"/>
      <c r="O94"/>
      <c r="P94"/>
      <c r="Q94"/>
      <c r="R94"/>
      <c r="S94"/>
      <c r="T94"/>
    </row>
    <row r="95" spans="1:20">
      <c r="A95" s="35"/>
      <c r="B95" s="777"/>
      <c r="O95"/>
      <c r="P95"/>
      <c r="Q95"/>
      <c r="R95"/>
      <c r="S95"/>
      <c r="T95"/>
    </row>
    <row r="96" spans="1:20">
      <c r="A96" s="35"/>
      <c r="B96" s="784" t="s">
        <v>182</v>
      </c>
      <c r="C96" s="155" t="s">
        <v>128</v>
      </c>
      <c r="D96" s="95">
        <f>D92*D94</f>
        <v>11.382507761853756</v>
      </c>
      <c r="E96" s="96">
        <f t="shared" ref="E96:K96" si="27">E92*E94</f>
        <v>3.8595149376507276</v>
      </c>
      <c r="F96" s="96">
        <f t="shared" si="27"/>
        <v>4.6086617059165667</v>
      </c>
      <c r="G96" s="96">
        <f t="shared" si="27"/>
        <v>-11.942505215643537</v>
      </c>
      <c r="H96" s="96">
        <f t="shared" si="27"/>
        <v>-11.406281404592693</v>
      </c>
      <c r="I96" s="96">
        <f t="shared" si="27"/>
        <v>-14.363020333633603</v>
      </c>
      <c r="J96" s="96">
        <f t="shared" si="27"/>
        <v>-2.7205350783112507</v>
      </c>
      <c r="K96" s="96">
        <f t="shared" si="27"/>
        <v>-0.69611085082584756</v>
      </c>
      <c r="L96" s="95">
        <f>SUM(D96:INDEX(D96:K96,0,MATCH('RFPR cover'!$C$7,$D$6:$K$6,0)))</f>
        <v>-17.861122548448783</v>
      </c>
      <c r="M96" s="97">
        <f>SUM(D96:K96)</f>
        <v>-21.27776847758588</v>
      </c>
      <c r="O96"/>
      <c r="P96"/>
      <c r="Q96"/>
      <c r="R96"/>
      <c r="S96"/>
      <c r="T96"/>
    </row>
    <row r="97" spans="1:20">
      <c r="A97" s="35"/>
      <c r="B97" s="784" t="s">
        <v>278</v>
      </c>
      <c r="C97" s="155" t="s">
        <v>128</v>
      </c>
      <c r="D97" s="92">
        <f>D92*(1-D94)</f>
        <v>13.096003553960774</v>
      </c>
      <c r="E97" s="93">
        <f t="shared" ref="E97:K97" si="28">E92*(1-E94)</f>
        <v>4.4405171863293322</v>
      </c>
      <c r="F97" s="93">
        <f t="shared" si="28"/>
        <v>5.3024387369147599</v>
      </c>
      <c r="G97" s="93">
        <f t="shared" si="28"/>
        <v>-13.740301699718911</v>
      </c>
      <c r="H97" s="93">
        <f t="shared" si="28"/>
        <v>-13.123356024638905</v>
      </c>
      <c r="I97" s="93">
        <f t="shared" si="28"/>
        <v>-16.525195437621459</v>
      </c>
      <c r="J97" s="93">
        <f t="shared" si="28"/>
        <v>-3.1300779933258482</v>
      </c>
      <c r="K97" s="93">
        <f t="shared" si="28"/>
        <v>-0.80090173159533018</v>
      </c>
      <c r="L97" s="92">
        <f>SUM(D97:INDEX(D97:K97,0,MATCH('RFPR cover'!$C$7,$D$6:$K$6,0)))</f>
        <v>-20.54989368477441</v>
      </c>
      <c r="M97" s="94">
        <f>SUM(D97:K97)</f>
        <v>-24.48087340969559</v>
      </c>
      <c r="O97"/>
      <c r="P97"/>
      <c r="Q97"/>
      <c r="R97"/>
      <c r="S97"/>
      <c r="T97"/>
    </row>
    <row r="98" spans="1:20">
      <c r="A98" s="35"/>
      <c r="B98" s="777"/>
      <c r="O98"/>
      <c r="P98"/>
      <c r="Q98"/>
      <c r="R98"/>
      <c r="S98"/>
      <c r="T98"/>
    </row>
    <row r="99" spans="1:20">
      <c r="A99" s="35"/>
      <c r="B99" s="785" t="s">
        <v>181</v>
      </c>
      <c r="N99" s="63"/>
      <c r="O99"/>
      <c r="P99"/>
      <c r="Q99"/>
      <c r="R99"/>
      <c r="S99"/>
      <c r="T99"/>
    </row>
    <row r="100" spans="1:20">
      <c r="A100" s="269" t="s">
        <v>151</v>
      </c>
      <c r="B100" s="225" t="str">
        <f t="shared" ref="B100:B105" si="29">B22</f>
        <v>Timing difference and over/under performance</v>
      </c>
      <c r="C100" s="155" t="s">
        <v>128</v>
      </c>
      <c r="D100" s="594">
        <f t="shared" ref="D100:K105" si="30">D22*D$86</f>
        <v>-24.478511315814536</v>
      </c>
      <c r="E100" s="594">
        <f t="shared" si="30"/>
        <v>-8.3000321239800616</v>
      </c>
      <c r="F100" s="594">
        <f t="shared" si="30"/>
        <v>-9.911100442831323</v>
      </c>
      <c r="G100" s="594">
        <f t="shared" si="30"/>
        <v>25.665960495362501</v>
      </c>
      <c r="H100" s="594">
        <f t="shared" si="30"/>
        <v>14.254435475630938</v>
      </c>
      <c r="I100" s="594">
        <f t="shared" si="30"/>
        <v>20.438677156772592</v>
      </c>
      <c r="J100" s="594">
        <f t="shared" si="30"/>
        <v>-4.9365416709240151</v>
      </c>
      <c r="K100" s="594">
        <f t="shared" si="30"/>
        <v>-9.6617632004883518</v>
      </c>
      <c r="L100" s="586">
        <f>SUM(D100:INDEX(D100:K100,0,MATCH('RFPR cover'!$C$7,$D$6:$K$6,0)))</f>
        <v>17.669429245140115</v>
      </c>
      <c r="M100" s="587">
        <f t="shared" ref="M100:M106" si="31">SUM(D100:K100)</f>
        <v>3.0711243737277485</v>
      </c>
      <c r="N100" s="63"/>
      <c r="O100"/>
      <c r="P100"/>
      <c r="Q100"/>
      <c r="R100"/>
      <c r="S100"/>
      <c r="T100"/>
    </row>
    <row r="101" spans="1:20">
      <c r="A101" s="269" t="s">
        <v>152</v>
      </c>
      <c r="B101" s="225" t="str">
        <f t="shared" si="29"/>
        <v>[Enduring Value adjustment]</v>
      </c>
      <c r="C101" s="155" t="s">
        <v>128</v>
      </c>
      <c r="D101" s="594">
        <f t="shared" si="30"/>
        <v>0</v>
      </c>
      <c r="E101" s="594">
        <f t="shared" si="30"/>
        <v>0</v>
      </c>
      <c r="F101" s="594">
        <f t="shared" si="30"/>
        <v>0</v>
      </c>
      <c r="G101" s="594">
        <f t="shared" si="30"/>
        <v>0</v>
      </c>
      <c r="H101" s="594">
        <f t="shared" si="30"/>
        <v>0</v>
      </c>
      <c r="I101" s="594">
        <f t="shared" si="30"/>
        <v>0</v>
      </c>
      <c r="J101" s="594">
        <f t="shared" si="30"/>
        <v>0</v>
      </c>
      <c r="K101" s="594">
        <f t="shared" si="30"/>
        <v>0</v>
      </c>
      <c r="L101" s="590">
        <f>SUM(D101:INDEX(D101:K101,0,MATCH('RFPR cover'!$C$7,$D$6:$K$6,0)))</f>
        <v>0</v>
      </c>
      <c r="M101" s="591">
        <f t="shared" si="31"/>
        <v>0</v>
      </c>
      <c r="N101" s="63"/>
      <c r="O101"/>
      <c r="P101"/>
      <c r="Q101"/>
      <c r="R101"/>
      <c r="S101"/>
      <c r="T101"/>
    </row>
    <row r="102" spans="1:20">
      <c r="A102" s="269" t="s">
        <v>153</v>
      </c>
      <c r="B102" s="225" t="str">
        <f t="shared" si="29"/>
        <v>[Enduring Value adjustment]</v>
      </c>
      <c r="C102" s="155" t="s">
        <v>128</v>
      </c>
      <c r="D102" s="594">
        <f t="shared" si="30"/>
        <v>0</v>
      </c>
      <c r="E102" s="594">
        <f t="shared" si="30"/>
        <v>0</v>
      </c>
      <c r="F102" s="594">
        <f t="shared" si="30"/>
        <v>0</v>
      </c>
      <c r="G102" s="594">
        <f t="shared" si="30"/>
        <v>0</v>
      </c>
      <c r="H102" s="594">
        <f t="shared" si="30"/>
        <v>0</v>
      </c>
      <c r="I102" s="594">
        <f t="shared" si="30"/>
        <v>0</v>
      </c>
      <c r="J102" s="594">
        <f t="shared" si="30"/>
        <v>0</v>
      </c>
      <c r="K102" s="594">
        <f t="shared" si="30"/>
        <v>0</v>
      </c>
      <c r="L102" s="590">
        <f>SUM(D102:INDEX(D102:K102,0,MATCH('RFPR cover'!$C$7,$D$6:$K$6,0)))</f>
        <v>0</v>
      </c>
      <c r="M102" s="591">
        <f t="shared" si="31"/>
        <v>0</v>
      </c>
      <c r="N102" s="63"/>
      <c r="O102"/>
      <c r="P102"/>
      <c r="Q102"/>
      <c r="R102"/>
      <c r="S102" s="65"/>
      <c r="T102"/>
    </row>
    <row r="103" spans="1:20">
      <c r="A103" s="269" t="s">
        <v>167</v>
      </c>
      <c r="B103" s="225" t="str">
        <f t="shared" si="29"/>
        <v>[Enduring Value adjustment]</v>
      </c>
      <c r="C103" s="155" t="s">
        <v>128</v>
      </c>
      <c r="D103" s="594">
        <f t="shared" si="30"/>
        <v>0</v>
      </c>
      <c r="E103" s="594">
        <f t="shared" si="30"/>
        <v>0</v>
      </c>
      <c r="F103" s="594">
        <f t="shared" si="30"/>
        <v>0</v>
      </c>
      <c r="G103" s="594">
        <f t="shared" si="30"/>
        <v>0</v>
      </c>
      <c r="H103" s="594">
        <f t="shared" si="30"/>
        <v>0</v>
      </c>
      <c r="I103" s="594">
        <f t="shared" si="30"/>
        <v>0</v>
      </c>
      <c r="J103" s="594">
        <f t="shared" si="30"/>
        <v>0</v>
      </c>
      <c r="K103" s="594">
        <f t="shared" si="30"/>
        <v>0</v>
      </c>
      <c r="L103" s="590">
        <f>SUM(D103:INDEX(D103:K103,0,MATCH('RFPR cover'!$C$7,$D$6:$K$6,0)))</f>
        <v>0</v>
      </c>
      <c r="M103" s="591">
        <f t="shared" si="31"/>
        <v>0</v>
      </c>
      <c r="N103" s="63"/>
      <c r="O103"/>
      <c r="P103"/>
      <c r="Q103"/>
      <c r="R103"/>
      <c r="S103"/>
      <c r="T103"/>
    </row>
    <row r="104" spans="1:20">
      <c r="A104" s="269" t="s">
        <v>168</v>
      </c>
      <c r="B104" s="225" t="str">
        <f t="shared" si="29"/>
        <v>[Enduring Value adjustment]</v>
      </c>
      <c r="C104" s="155" t="s">
        <v>128</v>
      </c>
      <c r="D104" s="594">
        <f t="shared" si="30"/>
        <v>0</v>
      </c>
      <c r="E104" s="594">
        <f t="shared" si="30"/>
        <v>0</v>
      </c>
      <c r="F104" s="594">
        <f t="shared" si="30"/>
        <v>0</v>
      </c>
      <c r="G104" s="594">
        <f t="shared" si="30"/>
        <v>0</v>
      </c>
      <c r="H104" s="594">
        <f t="shared" si="30"/>
        <v>0</v>
      </c>
      <c r="I104" s="594">
        <f t="shared" si="30"/>
        <v>0</v>
      </c>
      <c r="J104" s="594">
        <f t="shared" si="30"/>
        <v>0</v>
      </c>
      <c r="K104" s="594">
        <f t="shared" si="30"/>
        <v>0</v>
      </c>
      <c r="L104" s="590">
        <f>SUM(D104:INDEX(D104:K104,0,MATCH('RFPR cover'!$C$7,$D$6:$K$6,0)))</f>
        <v>0</v>
      </c>
      <c r="M104" s="591">
        <f t="shared" si="31"/>
        <v>0</v>
      </c>
      <c r="N104" s="63"/>
      <c r="O104"/>
      <c r="P104"/>
      <c r="Q104"/>
      <c r="R104"/>
      <c r="S104"/>
      <c r="T104"/>
    </row>
    <row r="105" spans="1:20">
      <c r="A105" s="269" t="s">
        <v>169</v>
      </c>
      <c r="B105" s="225" t="str">
        <f t="shared" si="29"/>
        <v>[Enduring Value adjustment]</v>
      </c>
      <c r="C105" s="155" t="s">
        <v>128</v>
      </c>
      <c r="D105" s="594">
        <f t="shared" si="30"/>
        <v>0</v>
      </c>
      <c r="E105" s="594">
        <f t="shared" si="30"/>
        <v>0</v>
      </c>
      <c r="F105" s="594">
        <f t="shared" si="30"/>
        <v>0</v>
      </c>
      <c r="G105" s="594">
        <f t="shared" si="30"/>
        <v>0</v>
      </c>
      <c r="H105" s="594">
        <f t="shared" si="30"/>
        <v>0</v>
      </c>
      <c r="I105" s="594">
        <f t="shared" si="30"/>
        <v>0</v>
      </c>
      <c r="J105" s="594">
        <f t="shared" si="30"/>
        <v>0</v>
      </c>
      <c r="K105" s="594">
        <f t="shared" si="30"/>
        <v>0</v>
      </c>
      <c r="L105" s="594">
        <f>SUM(D105:INDEX(D105:K105,0,MATCH('RFPR cover'!$C$7,$D$6:$K$6,0)))</f>
        <v>0</v>
      </c>
      <c r="M105" s="595">
        <f t="shared" si="31"/>
        <v>0</v>
      </c>
      <c r="N105" s="63"/>
      <c r="O105"/>
      <c r="P105"/>
      <c r="Q105"/>
      <c r="R105"/>
      <c r="S105"/>
      <c r="T105"/>
    </row>
    <row r="106" spans="1:20">
      <c r="A106" s="35"/>
      <c r="B106" s="785" t="s">
        <v>189</v>
      </c>
      <c r="C106" s="155" t="s">
        <v>128</v>
      </c>
      <c r="D106" s="102">
        <f>SUM(D100:D105)</f>
        <v>-24.478511315814536</v>
      </c>
      <c r="E106" s="103">
        <f t="shared" ref="E106:K106" si="32">SUM(E100:E105)</f>
        <v>-8.3000321239800616</v>
      </c>
      <c r="F106" s="103">
        <f t="shared" si="32"/>
        <v>-9.911100442831323</v>
      </c>
      <c r="G106" s="103">
        <f t="shared" si="32"/>
        <v>25.665960495362501</v>
      </c>
      <c r="H106" s="103">
        <f t="shared" si="32"/>
        <v>14.254435475630938</v>
      </c>
      <c r="I106" s="103">
        <f t="shared" si="32"/>
        <v>20.438677156772592</v>
      </c>
      <c r="J106" s="103">
        <f t="shared" si="32"/>
        <v>-4.9365416709240151</v>
      </c>
      <c r="K106" s="104">
        <f t="shared" si="32"/>
        <v>-9.6617632004883518</v>
      </c>
      <c r="L106" s="102">
        <f>SUM(D106:INDEX(D106:K106,0,MATCH('RFPR cover'!$C$7,$D$6:$K$6,0)))</f>
        <v>17.669429245140115</v>
      </c>
      <c r="M106" s="104">
        <f t="shared" si="31"/>
        <v>3.0711243737277485</v>
      </c>
      <c r="N106" s="63"/>
    </row>
    <row r="107" spans="1:20">
      <c r="A107" s="35"/>
      <c r="B107" s="777"/>
    </row>
    <row r="108" spans="1:20">
      <c r="A108" s="35"/>
      <c r="B108" s="784" t="s">
        <v>197</v>
      </c>
      <c r="C108" s="155" t="s">
        <v>128</v>
      </c>
      <c r="D108" s="95">
        <f t="shared" ref="D108:K108" si="33">D106*D94</f>
        <v>-11.382507761853759</v>
      </c>
      <c r="E108" s="96">
        <f t="shared" si="33"/>
        <v>-3.8595149376507285</v>
      </c>
      <c r="F108" s="96">
        <f t="shared" si="33"/>
        <v>-4.6086617059165649</v>
      </c>
      <c r="G108" s="96">
        <f t="shared" si="33"/>
        <v>11.934671630343562</v>
      </c>
      <c r="H108" s="96">
        <f t="shared" si="33"/>
        <v>6.6283124961683857</v>
      </c>
      <c r="I108" s="96">
        <f t="shared" si="33"/>
        <v>9.5039848778992546</v>
      </c>
      <c r="J108" s="96">
        <f t="shared" si="33"/>
        <v>-2.2954918769796668</v>
      </c>
      <c r="K108" s="96">
        <f t="shared" si="33"/>
        <v>-4.4927198882270831</v>
      </c>
      <c r="L108" s="95">
        <f>SUM(D108:INDEX(D108:K108,0,MATCH('RFPR cover'!$C$7,$D$6:$K$6,0)))</f>
        <v>8.2162845989901498</v>
      </c>
      <c r="M108" s="97">
        <f>SUM(D108:K108)</f>
        <v>1.4280728337833999</v>
      </c>
    </row>
    <row r="109" spans="1:20">
      <c r="A109" s="35"/>
      <c r="B109" s="784" t="s">
        <v>307</v>
      </c>
      <c r="C109" s="155" t="s">
        <v>128</v>
      </c>
      <c r="D109" s="92">
        <f t="shared" ref="D109:K109" si="34">D106*(1-D94)</f>
        <v>-13.096003553960777</v>
      </c>
      <c r="E109" s="93">
        <f t="shared" si="34"/>
        <v>-4.4405171863293331</v>
      </c>
      <c r="F109" s="93">
        <f t="shared" si="34"/>
        <v>-5.3024387369147581</v>
      </c>
      <c r="G109" s="93">
        <f t="shared" si="34"/>
        <v>13.731288865018939</v>
      </c>
      <c r="H109" s="93">
        <f t="shared" si="34"/>
        <v>7.6261229794625525</v>
      </c>
      <c r="I109" s="93">
        <f t="shared" si="34"/>
        <v>10.934692278873337</v>
      </c>
      <c r="J109" s="93">
        <f t="shared" si="34"/>
        <v>-2.6410497939443482</v>
      </c>
      <c r="K109" s="93">
        <f t="shared" si="34"/>
        <v>-5.1690433122612687</v>
      </c>
      <c r="L109" s="92">
        <f>SUM(D109:INDEX(D109:K109,0,MATCH('RFPR cover'!$C$7,$D$6:$K$6,0)))</f>
        <v>9.4531446461499584</v>
      </c>
      <c r="M109" s="94">
        <f>SUM(D109:K109)</f>
        <v>1.6430515399443415</v>
      </c>
    </row>
    <row r="110" spans="1:20">
      <c r="A110" s="35"/>
      <c r="B110" s="777"/>
    </row>
    <row r="111" spans="1:20">
      <c r="A111" s="35"/>
      <c r="B111" s="785" t="s">
        <v>180</v>
      </c>
    </row>
    <row r="112" spans="1:20">
      <c r="A112" s="35"/>
      <c r="B112" s="777" t="s">
        <v>179</v>
      </c>
      <c r="C112" s="155" t="s">
        <v>128</v>
      </c>
      <c r="D112" s="95">
        <f>D96+D108</f>
        <v>0</v>
      </c>
      <c r="E112" s="96">
        <f t="shared" ref="E112:K112" si="35">E96+E108</f>
        <v>0</v>
      </c>
      <c r="F112" s="96">
        <f t="shared" si="35"/>
        <v>0</v>
      </c>
      <c r="G112" s="96">
        <f t="shared" si="35"/>
        <v>-7.8335852999753541E-3</v>
      </c>
      <c r="H112" s="96">
        <f t="shared" si="35"/>
        <v>-4.7779689084243078</v>
      </c>
      <c r="I112" s="96">
        <f t="shared" si="35"/>
        <v>-4.8590354557343485</v>
      </c>
      <c r="J112" s="96">
        <f t="shared" si="35"/>
        <v>-5.0160269552909176</v>
      </c>
      <c r="K112" s="96">
        <f t="shared" si="35"/>
        <v>-5.1888307390529302</v>
      </c>
      <c r="L112" s="95">
        <f>SUM(D112:INDEX(D112:K112,0,MATCH('RFPR cover'!$C$7,$D$6:$K$6,0)))</f>
        <v>-9.6448379494586316</v>
      </c>
      <c r="M112" s="97">
        <f>SUM(D112:K112)</f>
        <v>-19.849695643802477</v>
      </c>
    </row>
    <row r="113" spans="1:20">
      <c r="A113" s="35"/>
      <c r="B113" s="777" t="s">
        <v>278</v>
      </c>
      <c r="C113" s="155" t="s">
        <v>128</v>
      </c>
      <c r="D113" s="522">
        <f>D97+D109</f>
        <v>0</v>
      </c>
      <c r="E113" s="523">
        <f t="shared" ref="E113:K113" si="36">E97+E109</f>
        <v>0</v>
      </c>
      <c r="F113" s="523">
        <f t="shared" si="36"/>
        <v>0</v>
      </c>
      <c r="G113" s="523">
        <f t="shared" si="36"/>
        <v>-9.0128346999716058E-3</v>
      </c>
      <c r="H113" s="523">
        <f t="shared" si="36"/>
        <v>-5.4972330451763529</v>
      </c>
      <c r="I113" s="523">
        <f t="shared" si="36"/>
        <v>-5.5905031587481222</v>
      </c>
      <c r="J113" s="523">
        <f t="shared" si="36"/>
        <v>-5.7711277872701965</v>
      </c>
      <c r="K113" s="523">
        <f t="shared" si="36"/>
        <v>-5.9699450438565993</v>
      </c>
      <c r="L113" s="522">
        <f>SUM(D113:INDEX(D113:K113,0,MATCH('RFPR cover'!$C$7,$D$6:$K$6,0)))</f>
        <v>-11.096749038624447</v>
      </c>
      <c r="M113" s="524">
        <f>SUM(D113:K113)</f>
        <v>-22.837821869751245</v>
      </c>
    </row>
    <row r="114" spans="1:20">
      <c r="A114" s="35"/>
      <c r="B114" s="785" t="s">
        <v>11</v>
      </c>
      <c r="C114" s="156" t="s">
        <v>128</v>
      </c>
      <c r="D114" s="145">
        <f>SUM(D112:D113)</f>
        <v>0</v>
      </c>
      <c r="E114" s="146">
        <f t="shared" ref="E114:K114" si="37">SUM(E112:E113)</f>
        <v>0</v>
      </c>
      <c r="F114" s="146">
        <f t="shared" si="37"/>
        <v>0</v>
      </c>
      <c r="G114" s="146">
        <f t="shared" si="37"/>
        <v>-1.684641999994696E-2</v>
      </c>
      <c r="H114" s="146">
        <f t="shared" si="37"/>
        <v>-10.275201953600661</v>
      </c>
      <c r="I114" s="146">
        <f t="shared" si="37"/>
        <v>-10.449538614482471</v>
      </c>
      <c r="J114" s="146">
        <f t="shared" si="37"/>
        <v>-10.787154742561114</v>
      </c>
      <c r="K114" s="146">
        <f t="shared" si="37"/>
        <v>-11.15877578290953</v>
      </c>
      <c r="L114" s="145">
        <f>SUM(D114:INDEX(D114:K114,0,MATCH('RFPR cover'!$C$7,$D$6:$K$6,0)))</f>
        <v>-20.741586988083078</v>
      </c>
      <c r="M114" s="147">
        <f>SUM(D114:K114)</f>
        <v>-42.687517513553722</v>
      </c>
    </row>
    <row r="115" spans="1:20">
      <c r="A115" s="35"/>
      <c r="B115" s="777"/>
    </row>
    <row r="116" spans="1:20">
      <c r="A116" s="35"/>
      <c r="B116" s="780" t="str">
        <f>B38</f>
        <v>n/a</v>
      </c>
      <c r="C116" s="150"/>
      <c r="D116" s="82"/>
      <c r="E116" s="82"/>
      <c r="F116" s="82"/>
      <c r="G116" s="82"/>
      <c r="H116" s="82"/>
      <c r="I116" s="82"/>
      <c r="J116" s="82"/>
      <c r="K116" s="82"/>
      <c r="L116" s="82"/>
      <c r="M116" s="82"/>
      <c r="N116" s="82"/>
    </row>
    <row r="117" spans="1:20" s="35" customFormat="1">
      <c r="B117" s="778"/>
      <c r="C117" s="138"/>
      <c r="D117" s="320"/>
      <c r="E117" s="320"/>
      <c r="F117" s="320"/>
      <c r="G117" s="320"/>
      <c r="H117" s="320"/>
      <c r="I117" s="320"/>
      <c r="J117" s="320"/>
      <c r="K117" s="320"/>
      <c r="L117" s="320"/>
      <c r="M117" s="320"/>
      <c r="N117" s="320"/>
    </row>
    <row r="118" spans="1:20">
      <c r="A118" s="35"/>
      <c r="B118" s="305" t="s">
        <v>34</v>
      </c>
      <c r="C118" s="155" t="s">
        <v>128</v>
      </c>
      <c r="D118" s="673">
        <f t="shared" ref="D118:K119" si="38">D40*D$86</f>
        <v>0</v>
      </c>
      <c r="E118" s="673">
        <f t="shared" si="38"/>
        <v>0</v>
      </c>
      <c r="F118" s="673">
        <f t="shared" si="38"/>
        <v>0</v>
      </c>
      <c r="G118" s="673">
        <f t="shared" si="38"/>
        <v>0</v>
      </c>
      <c r="H118" s="673">
        <f t="shared" si="38"/>
        <v>0</v>
      </c>
      <c r="I118" s="673">
        <f t="shared" si="38"/>
        <v>0</v>
      </c>
      <c r="J118" s="673">
        <f t="shared" si="38"/>
        <v>0</v>
      </c>
      <c r="K118" s="673">
        <f t="shared" si="38"/>
        <v>0</v>
      </c>
      <c r="L118" s="673">
        <f>SUM(D118:INDEX(D118:K118,0,MATCH('RFPR cover'!$C$7,$D$6:$K$6,0)))</f>
        <v>0</v>
      </c>
      <c r="M118" s="674">
        <f>SUM(D118:K118)</f>
        <v>0</v>
      </c>
      <c r="N118" s="63"/>
      <c r="O118" s="63"/>
    </row>
    <row r="119" spans="1:20" ht="25.5">
      <c r="A119" s="35"/>
      <c r="B119" s="782" t="s">
        <v>196</v>
      </c>
      <c r="C119" s="155" t="s">
        <v>128</v>
      </c>
      <c r="D119" s="673">
        <f t="shared" si="38"/>
        <v>0</v>
      </c>
      <c r="E119" s="673">
        <f t="shared" si="38"/>
        <v>0</v>
      </c>
      <c r="F119" s="673">
        <f t="shared" si="38"/>
        <v>0</v>
      </c>
      <c r="G119" s="673">
        <f t="shared" si="38"/>
        <v>0</v>
      </c>
      <c r="H119" s="673">
        <f t="shared" si="38"/>
        <v>0</v>
      </c>
      <c r="I119" s="673">
        <f t="shared" si="38"/>
        <v>0</v>
      </c>
      <c r="J119" s="673">
        <f t="shared" si="38"/>
        <v>0</v>
      </c>
      <c r="K119" s="673">
        <f t="shared" si="38"/>
        <v>0</v>
      </c>
      <c r="L119" s="675">
        <f>SUM(D119:INDEX(D119:K119,0,MATCH('RFPR cover'!$C$7,$D$6:$K$6,0)))</f>
        <v>0</v>
      </c>
      <c r="M119" s="676">
        <f>SUM(D119:K119)</f>
        <v>0</v>
      </c>
      <c r="N119" s="63"/>
      <c r="O119" s="63"/>
    </row>
    <row r="120" spans="1:20">
      <c r="A120" s="35"/>
      <c r="B120" s="783" t="s">
        <v>194</v>
      </c>
      <c r="C120" s="155" t="s">
        <v>128</v>
      </c>
      <c r="D120" s="102">
        <f>D119-D118</f>
        <v>0</v>
      </c>
      <c r="E120" s="103">
        <f t="shared" ref="E120:M120" si="39">E119-E118</f>
        <v>0</v>
      </c>
      <c r="F120" s="103">
        <f t="shared" si="39"/>
        <v>0</v>
      </c>
      <c r="G120" s="103">
        <f t="shared" si="39"/>
        <v>0</v>
      </c>
      <c r="H120" s="103">
        <f t="shared" si="39"/>
        <v>0</v>
      </c>
      <c r="I120" s="103">
        <f t="shared" si="39"/>
        <v>0</v>
      </c>
      <c r="J120" s="103">
        <f t="shared" si="39"/>
        <v>0</v>
      </c>
      <c r="K120" s="103">
        <f t="shared" si="39"/>
        <v>0</v>
      </c>
      <c r="L120" s="102">
        <f t="shared" si="39"/>
        <v>0</v>
      </c>
      <c r="M120" s="104">
        <f t="shared" si="39"/>
        <v>0</v>
      </c>
      <c r="N120" s="63"/>
      <c r="O120" s="999"/>
      <c r="P120" s="999"/>
      <c r="Q120" s="999"/>
      <c r="R120"/>
      <c r="S120"/>
      <c r="T120"/>
    </row>
    <row r="121" spans="1:20">
      <c r="A121" s="35"/>
      <c r="B121" s="783"/>
      <c r="C121" s="155"/>
      <c r="D121" s="59"/>
      <c r="E121" s="59"/>
      <c r="F121" s="59"/>
      <c r="G121" s="59"/>
      <c r="H121" s="59"/>
      <c r="I121" s="59"/>
      <c r="J121" s="59"/>
      <c r="K121" s="59"/>
      <c r="L121" s="59"/>
      <c r="M121" s="59"/>
      <c r="O121" s="64"/>
      <c r="P121" s="64"/>
      <c r="Q121" s="64"/>
      <c r="R121"/>
      <c r="S121"/>
      <c r="T121"/>
    </row>
    <row r="122" spans="1:20">
      <c r="A122" s="35"/>
      <c r="B122" s="777" t="s">
        <v>177</v>
      </c>
      <c r="C122" s="136" t="s">
        <v>7</v>
      </c>
      <c r="D122" s="109">
        <f>1-INDEX(Data!$D$73:$D$100,MATCH('RFPR cover'!$C$5,Data!$B$73:$B$100,0),0)</f>
        <v>0.46499999999999997</v>
      </c>
      <c r="E122" s="110">
        <f>1-INDEX(Data!$D$73:$D$100,MATCH('RFPR cover'!$C$5,Data!$B$73:$B$100,0),0)</f>
        <v>0.46499999999999997</v>
      </c>
      <c r="F122" s="110">
        <f>1-INDEX(Data!$D$73:$D$100,MATCH('RFPR cover'!$C$5,Data!$B$73:$B$100,0),0)</f>
        <v>0.46499999999999997</v>
      </c>
      <c r="G122" s="110">
        <f>1-INDEX(Data!$D$73:$D$100,MATCH('RFPR cover'!$C$5,Data!$B$73:$B$100,0),0)</f>
        <v>0.46499999999999997</v>
      </c>
      <c r="H122" s="110">
        <f>1-INDEX(Data!$D$73:$D$100,MATCH('RFPR cover'!$C$5,Data!$B$73:$B$100,0),0)</f>
        <v>0.46499999999999997</v>
      </c>
      <c r="I122" s="110">
        <f>1-INDEX(Data!$D$73:$D$100,MATCH('RFPR cover'!$C$5,Data!$B$73:$B$100,0),0)</f>
        <v>0.46499999999999997</v>
      </c>
      <c r="J122" s="110">
        <f>1-INDEX(Data!$D$73:$D$100,MATCH('RFPR cover'!$C$5,Data!$B$73:$B$100,0),0)</f>
        <v>0.46499999999999997</v>
      </c>
      <c r="K122" s="111">
        <f>1-INDEX(Data!$D$73:$D$100,MATCH('RFPR cover'!$C$5,Data!$B$73:$B$100,0),0)</f>
        <v>0.46499999999999997</v>
      </c>
      <c r="L122" s="62"/>
      <c r="M122" s="62"/>
      <c r="O122"/>
      <c r="P122"/>
      <c r="Q122"/>
      <c r="R122"/>
      <c r="S122"/>
      <c r="T122"/>
    </row>
    <row r="123" spans="1:20">
      <c r="A123" s="35"/>
      <c r="B123" s="777"/>
      <c r="O123"/>
      <c r="P123"/>
      <c r="Q123"/>
      <c r="R123"/>
      <c r="S123"/>
      <c r="T123"/>
    </row>
    <row r="124" spans="1:20">
      <c r="A124" s="35"/>
      <c r="B124" s="784" t="s">
        <v>182</v>
      </c>
      <c r="C124" s="159" t="s">
        <v>128</v>
      </c>
      <c r="D124" s="95">
        <f>D120*D122</f>
        <v>0</v>
      </c>
      <c r="E124" s="96">
        <f t="shared" ref="E124:K124" si="40">E120*E122</f>
        <v>0</v>
      </c>
      <c r="F124" s="96">
        <f t="shared" si="40"/>
        <v>0</v>
      </c>
      <c r="G124" s="96">
        <f t="shared" si="40"/>
        <v>0</v>
      </c>
      <c r="H124" s="96">
        <f t="shared" si="40"/>
        <v>0</v>
      </c>
      <c r="I124" s="96">
        <f t="shared" si="40"/>
        <v>0</v>
      </c>
      <c r="J124" s="96">
        <f t="shared" si="40"/>
        <v>0</v>
      </c>
      <c r="K124" s="96">
        <f t="shared" si="40"/>
        <v>0</v>
      </c>
      <c r="L124" s="95">
        <f>SUM(D124:INDEX(D124:K124,0,MATCH('RFPR cover'!$C$7,$D$6:$K$6,0)))</f>
        <v>0</v>
      </c>
      <c r="M124" s="97">
        <f>SUM(D124:K124)</f>
        <v>0</v>
      </c>
      <c r="O124"/>
      <c r="P124"/>
      <c r="Q124"/>
      <c r="R124"/>
      <c r="S124"/>
      <c r="T124"/>
    </row>
    <row r="125" spans="1:20">
      <c r="A125" s="35"/>
      <c r="B125" s="784" t="s">
        <v>178</v>
      </c>
      <c r="C125" s="159" t="s">
        <v>128</v>
      </c>
      <c r="D125" s="92">
        <f>D120*(1-D122)</f>
        <v>0</v>
      </c>
      <c r="E125" s="93">
        <f t="shared" ref="E125:K125" si="41">E120*(1-E122)</f>
        <v>0</v>
      </c>
      <c r="F125" s="93">
        <f t="shared" si="41"/>
        <v>0</v>
      </c>
      <c r="G125" s="93">
        <f t="shared" si="41"/>
        <v>0</v>
      </c>
      <c r="H125" s="93">
        <f t="shared" si="41"/>
        <v>0</v>
      </c>
      <c r="I125" s="93">
        <f t="shared" si="41"/>
        <v>0</v>
      </c>
      <c r="J125" s="93">
        <f t="shared" si="41"/>
        <v>0</v>
      </c>
      <c r="K125" s="93">
        <f t="shared" si="41"/>
        <v>0</v>
      </c>
      <c r="L125" s="92">
        <f>SUM(D125:INDEX(D125:K125,0,MATCH('RFPR cover'!$C$7,$D$6:$K$6,0)))</f>
        <v>0</v>
      </c>
      <c r="M125" s="94">
        <f>SUM(D125:K125)</f>
        <v>0</v>
      </c>
      <c r="O125"/>
      <c r="P125"/>
      <c r="Q125"/>
      <c r="R125"/>
      <c r="S125"/>
      <c r="T125"/>
    </row>
    <row r="126" spans="1:20">
      <c r="A126" s="35"/>
      <c r="B126" s="777"/>
      <c r="O126"/>
      <c r="P126"/>
      <c r="Q126"/>
      <c r="R126"/>
      <c r="S126"/>
      <c r="T126"/>
    </row>
    <row r="127" spans="1:20">
      <c r="A127" s="35"/>
      <c r="B127" s="785" t="s">
        <v>181</v>
      </c>
      <c r="N127" s="63"/>
      <c r="O127"/>
      <c r="P127"/>
      <c r="Q127"/>
      <c r="R127"/>
      <c r="S127"/>
      <c r="T127"/>
    </row>
    <row r="128" spans="1:20">
      <c r="A128" s="269" t="s">
        <v>151</v>
      </c>
      <c r="B128" s="225" t="str">
        <f t="shared" ref="B128:B133" si="42">B50</f>
        <v>[Enduring Value adjustment]</v>
      </c>
      <c r="C128" s="155" t="s">
        <v>128</v>
      </c>
      <c r="D128" s="586">
        <f t="shared" ref="D128:K133" si="43">D50*D$86</f>
        <v>0</v>
      </c>
      <c r="E128" s="586">
        <f t="shared" si="43"/>
        <v>0</v>
      </c>
      <c r="F128" s="586">
        <f t="shared" si="43"/>
        <v>0</v>
      </c>
      <c r="G128" s="586">
        <f t="shared" si="43"/>
        <v>0</v>
      </c>
      <c r="H128" s="586">
        <f t="shared" si="43"/>
        <v>0</v>
      </c>
      <c r="I128" s="586">
        <f t="shared" si="43"/>
        <v>0</v>
      </c>
      <c r="J128" s="586">
        <f t="shared" si="43"/>
        <v>0</v>
      </c>
      <c r="K128" s="586">
        <f t="shared" si="43"/>
        <v>0</v>
      </c>
      <c r="L128" s="586">
        <f>SUM(D128:INDEX(D128:K128,0,MATCH('RFPR cover'!$C$7,$D$6:$K$6,0)))</f>
        <v>0</v>
      </c>
      <c r="M128" s="587">
        <f t="shared" ref="M128:M134" si="44">SUM(D128:K128)</f>
        <v>0</v>
      </c>
      <c r="N128" s="63"/>
      <c r="O128"/>
      <c r="P128"/>
      <c r="Q128"/>
      <c r="R128"/>
      <c r="S128"/>
      <c r="T128"/>
    </row>
    <row r="129" spans="1:20">
      <c r="A129" s="269" t="s">
        <v>152</v>
      </c>
      <c r="B129" s="225" t="str">
        <f t="shared" si="42"/>
        <v>[Enduring Value adjustment]</v>
      </c>
      <c r="C129" s="155" t="s">
        <v>128</v>
      </c>
      <c r="D129" s="586">
        <f t="shared" si="43"/>
        <v>0</v>
      </c>
      <c r="E129" s="586">
        <f t="shared" si="43"/>
        <v>0</v>
      </c>
      <c r="F129" s="586">
        <f t="shared" si="43"/>
        <v>0</v>
      </c>
      <c r="G129" s="586">
        <f t="shared" si="43"/>
        <v>0</v>
      </c>
      <c r="H129" s="586">
        <f t="shared" si="43"/>
        <v>0</v>
      </c>
      <c r="I129" s="586">
        <f t="shared" si="43"/>
        <v>0</v>
      </c>
      <c r="J129" s="586">
        <f t="shared" si="43"/>
        <v>0</v>
      </c>
      <c r="K129" s="586">
        <f t="shared" si="43"/>
        <v>0</v>
      </c>
      <c r="L129" s="590">
        <f>SUM(D129:INDEX(D129:K129,0,MATCH('RFPR cover'!$C$7,$D$6:$K$6,0)))</f>
        <v>0</v>
      </c>
      <c r="M129" s="591">
        <f t="shared" si="44"/>
        <v>0</v>
      </c>
      <c r="N129" s="63"/>
      <c r="O129"/>
      <c r="P129"/>
      <c r="Q129"/>
      <c r="R129"/>
      <c r="S129"/>
      <c r="T129"/>
    </row>
    <row r="130" spans="1:20">
      <c r="A130" s="269" t="s">
        <v>153</v>
      </c>
      <c r="B130" s="225" t="str">
        <f t="shared" si="42"/>
        <v>[Enduring Value adjustment]</v>
      </c>
      <c r="C130" s="155" t="s">
        <v>128</v>
      </c>
      <c r="D130" s="586">
        <f t="shared" si="43"/>
        <v>0</v>
      </c>
      <c r="E130" s="586">
        <f t="shared" si="43"/>
        <v>0</v>
      </c>
      <c r="F130" s="586">
        <f t="shared" si="43"/>
        <v>0</v>
      </c>
      <c r="G130" s="586">
        <f t="shared" si="43"/>
        <v>0</v>
      </c>
      <c r="H130" s="586">
        <f t="shared" si="43"/>
        <v>0</v>
      </c>
      <c r="I130" s="586">
        <f t="shared" si="43"/>
        <v>0</v>
      </c>
      <c r="J130" s="586">
        <f t="shared" si="43"/>
        <v>0</v>
      </c>
      <c r="K130" s="586">
        <f t="shared" si="43"/>
        <v>0</v>
      </c>
      <c r="L130" s="590">
        <f>SUM(D130:INDEX(D130:K130,0,MATCH('RFPR cover'!$C$7,$D$6:$K$6,0)))</f>
        <v>0</v>
      </c>
      <c r="M130" s="591">
        <f t="shared" si="44"/>
        <v>0</v>
      </c>
      <c r="N130" s="63"/>
      <c r="O130"/>
      <c r="P130"/>
      <c r="Q130"/>
      <c r="R130"/>
      <c r="S130" s="65"/>
      <c r="T130"/>
    </row>
    <row r="131" spans="1:20">
      <c r="A131" s="269" t="s">
        <v>167</v>
      </c>
      <c r="B131" s="225" t="str">
        <f t="shared" si="42"/>
        <v>[Enduring Value adjustment]</v>
      </c>
      <c r="C131" s="155" t="s">
        <v>128</v>
      </c>
      <c r="D131" s="586">
        <f t="shared" si="43"/>
        <v>0</v>
      </c>
      <c r="E131" s="586">
        <f t="shared" si="43"/>
        <v>0</v>
      </c>
      <c r="F131" s="586">
        <f t="shared" si="43"/>
        <v>0</v>
      </c>
      <c r="G131" s="586">
        <f t="shared" si="43"/>
        <v>0</v>
      </c>
      <c r="H131" s="586">
        <f t="shared" si="43"/>
        <v>0</v>
      </c>
      <c r="I131" s="586">
        <f t="shared" si="43"/>
        <v>0</v>
      </c>
      <c r="J131" s="586">
        <f t="shared" si="43"/>
        <v>0</v>
      </c>
      <c r="K131" s="586">
        <f t="shared" si="43"/>
        <v>0</v>
      </c>
      <c r="L131" s="590">
        <f>SUM(D131:INDEX(D131:K131,0,MATCH('RFPR cover'!$C$7,$D$6:$K$6,0)))</f>
        <v>0</v>
      </c>
      <c r="M131" s="591">
        <f t="shared" si="44"/>
        <v>0</v>
      </c>
      <c r="N131" s="63"/>
      <c r="O131"/>
      <c r="P131"/>
      <c r="Q131"/>
      <c r="R131"/>
      <c r="S131"/>
      <c r="T131"/>
    </row>
    <row r="132" spans="1:20">
      <c r="A132" s="269" t="s">
        <v>168</v>
      </c>
      <c r="B132" s="225" t="str">
        <f t="shared" si="42"/>
        <v>[Enduring Value adjustment]</v>
      </c>
      <c r="C132" s="155" t="s">
        <v>128</v>
      </c>
      <c r="D132" s="586">
        <f t="shared" si="43"/>
        <v>0</v>
      </c>
      <c r="E132" s="586">
        <f t="shared" si="43"/>
        <v>0</v>
      </c>
      <c r="F132" s="586">
        <f t="shared" si="43"/>
        <v>0</v>
      </c>
      <c r="G132" s="586">
        <f t="shared" si="43"/>
        <v>0</v>
      </c>
      <c r="H132" s="586">
        <f t="shared" si="43"/>
        <v>0</v>
      </c>
      <c r="I132" s="586">
        <f t="shared" si="43"/>
        <v>0</v>
      </c>
      <c r="J132" s="586">
        <f t="shared" si="43"/>
        <v>0</v>
      </c>
      <c r="K132" s="586">
        <f t="shared" si="43"/>
        <v>0</v>
      </c>
      <c r="L132" s="590">
        <f>SUM(D132:INDEX(D132:K132,0,MATCH('RFPR cover'!$C$7,$D$6:$K$6,0)))</f>
        <v>0</v>
      </c>
      <c r="M132" s="591">
        <f t="shared" si="44"/>
        <v>0</v>
      </c>
      <c r="N132" s="63"/>
      <c r="O132"/>
      <c r="P132"/>
      <c r="Q132"/>
      <c r="R132"/>
      <c r="S132"/>
      <c r="T132"/>
    </row>
    <row r="133" spans="1:20">
      <c r="A133" s="269" t="s">
        <v>169</v>
      </c>
      <c r="B133" s="225" t="str">
        <f t="shared" si="42"/>
        <v>[Enduring Value adjustment]</v>
      </c>
      <c r="C133" s="155" t="s">
        <v>128</v>
      </c>
      <c r="D133" s="586">
        <f t="shared" si="43"/>
        <v>0</v>
      </c>
      <c r="E133" s="586">
        <f t="shared" si="43"/>
        <v>0</v>
      </c>
      <c r="F133" s="586">
        <f t="shared" si="43"/>
        <v>0</v>
      </c>
      <c r="G133" s="586">
        <f t="shared" si="43"/>
        <v>0</v>
      </c>
      <c r="H133" s="586">
        <f t="shared" si="43"/>
        <v>0</v>
      </c>
      <c r="I133" s="586">
        <f t="shared" si="43"/>
        <v>0</v>
      </c>
      <c r="J133" s="586">
        <f t="shared" si="43"/>
        <v>0</v>
      </c>
      <c r="K133" s="586">
        <f t="shared" si="43"/>
        <v>0</v>
      </c>
      <c r="L133" s="594">
        <f>SUM(D133:INDEX(D133:K133,0,MATCH('RFPR cover'!$C$7,$D$6:$K$6,0)))</f>
        <v>0</v>
      </c>
      <c r="M133" s="595">
        <f t="shared" si="44"/>
        <v>0</v>
      </c>
      <c r="N133" s="63"/>
      <c r="O133"/>
      <c r="P133"/>
      <c r="Q133"/>
      <c r="R133"/>
      <c r="S133"/>
      <c r="T133"/>
    </row>
    <row r="134" spans="1:20">
      <c r="A134" s="35"/>
      <c r="B134" s="785" t="s">
        <v>189</v>
      </c>
      <c r="C134" s="155" t="s">
        <v>128</v>
      </c>
      <c r="D134" s="102">
        <f>SUM(D128:D133)</f>
        <v>0</v>
      </c>
      <c r="E134" s="103">
        <f t="shared" ref="E134:K134" si="45">SUM(E128:E133)</f>
        <v>0</v>
      </c>
      <c r="F134" s="103">
        <f t="shared" si="45"/>
        <v>0</v>
      </c>
      <c r="G134" s="103">
        <f t="shared" si="45"/>
        <v>0</v>
      </c>
      <c r="H134" s="103">
        <f t="shared" si="45"/>
        <v>0</v>
      </c>
      <c r="I134" s="103">
        <f t="shared" si="45"/>
        <v>0</v>
      </c>
      <c r="J134" s="103">
        <f t="shared" si="45"/>
        <v>0</v>
      </c>
      <c r="K134" s="103">
        <f t="shared" si="45"/>
        <v>0</v>
      </c>
      <c r="L134" s="102">
        <f>SUM(D134:INDEX(D134:K134,0,MATCH('RFPR cover'!$C$7,$D$6:$K$6,0)))</f>
        <v>0</v>
      </c>
      <c r="M134" s="104">
        <f t="shared" si="44"/>
        <v>0</v>
      </c>
      <c r="N134" s="63"/>
    </row>
    <row r="135" spans="1:20">
      <c r="A135" s="35"/>
      <c r="B135" s="777"/>
    </row>
    <row r="136" spans="1:20">
      <c r="A136" s="35"/>
      <c r="B136" s="784" t="s">
        <v>197</v>
      </c>
      <c r="C136" s="159" t="s">
        <v>128</v>
      </c>
      <c r="D136" s="95">
        <f t="shared" ref="D136:K136" si="46">D134*D122</f>
        <v>0</v>
      </c>
      <c r="E136" s="96">
        <f t="shared" si="46"/>
        <v>0</v>
      </c>
      <c r="F136" s="96">
        <f t="shared" si="46"/>
        <v>0</v>
      </c>
      <c r="G136" s="96">
        <f t="shared" si="46"/>
        <v>0</v>
      </c>
      <c r="H136" s="96">
        <f t="shared" si="46"/>
        <v>0</v>
      </c>
      <c r="I136" s="96">
        <f t="shared" si="46"/>
        <v>0</v>
      </c>
      <c r="J136" s="96">
        <f t="shared" si="46"/>
        <v>0</v>
      </c>
      <c r="K136" s="96">
        <f t="shared" si="46"/>
        <v>0</v>
      </c>
      <c r="L136" s="95">
        <f>SUM(D136:INDEX(D136:K136,0,MATCH('RFPR cover'!$C$7,$D$6:$K$6,0)))</f>
        <v>0</v>
      </c>
      <c r="M136" s="97">
        <f>SUM(D136:K136)</f>
        <v>0</v>
      </c>
    </row>
    <row r="137" spans="1:20">
      <c r="A137" s="35"/>
      <c r="B137" s="784" t="s">
        <v>307</v>
      </c>
      <c r="C137" s="159" t="s">
        <v>128</v>
      </c>
      <c r="D137" s="92">
        <f t="shared" ref="D137:K137" si="47">D134*(1-D122)</f>
        <v>0</v>
      </c>
      <c r="E137" s="93">
        <f t="shared" si="47"/>
        <v>0</v>
      </c>
      <c r="F137" s="93">
        <f t="shared" si="47"/>
        <v>0</v>
      </c>
      <c r="G137" s="93">
        <f t="shared" si="47"/>
        <v>0</v>
      </c>
      <c r="H137" s="93">
        <f t="shared" si="47"/>
        <v>0</v>
      </c>
      <c r="I137" s="93">
        <f t="shared" si="47"/>
        <v>0</v>
      </c>
      <c r="J137" s="93">
        <f t="shared" si="47"/>
        <v>0</v>
      </c>
      <c r="K137" s="93">
        <f t="shared" si="47"/>
        <v>0</v>
      </c>
      <c r="L137" s="92">
        <f>SUM(D137:INDEX(D137:K137,0,MATCH('RFPR cover'!$C$7,$D$6:$K$6,0)))</f>
        <v>0</v>
      </c>
      <c r="M137" s="94">
        <f>SUM(D137:K137)</f>
        <v>0</v>
      </c>
    </row>
    <row r="138" spans="1:20">
      <c r="A138" s="35"/>
      <c r="B138" s="777"/>
    </row>
    <row r="139" spans="1:20">
      <c r="A139" s="35"/>
      <c r="B139" s="785" t="s">
        <v>180</v>
      </c>
    </row>
    <row r="140" spans="1:20">
      <c r="A140" s="35"/>
      <c r="B140" s="777" t="s">
        <v>179</v>
      </c>
      <c r="C140" s="155" t="s">
        <v>128</v>
      </c>
      <c r="D140" s="95">
        <f>D124+D136</f>
        <v>0</v>
      </c>
      <c r="E140" s="96">
        <f t="shared" ref="E140:K140" si="48">E124+E136</f>
        <v>0</v>
      </c>
      <c r="F140" s="96">
        <f t="shared" si="48"/>
        <v>0</v>
      </c>
      <c r="G140" s="96">
        <f t="shared" si="48"/>
        <v>0</v>
      </c>
      <c r="H140" s="96">
        <f t="shared" si="48"/>
        <v>0</v>
      </c>
      <c r="I140" s="96">
        <f t="shared" si="48"/>
        <v>0</v>
      </c>
      <c r="J140" s="96">
        <f t="shared" si="48"/>
        <v>0</v>
      </c>
      <c r="K140" s="96">
        <f t="shared" si="48"/>
        <v>0</v>
      </c>
      <c r="L140" s="95">
        <f>SUM(D140:INDEX(D140:K140,0,MATCH('RFPR cover'!$C$7,$D$6:$K$6,0)))</f>
        <v>0</v>
      </c>
      <c r="M140" s="97">
        <f>SUM(D140:K140)</f>
        <v>0</v>
      </c>
    </row>
    <row r="141" spans="1:20">
      <c r="A141" s="35"/>
      <c r="B141" s="777" t="s">
        <v>278</v>
      </c>
      <c r="C141" s="155" t="s">
        <v>128</v>
      </c>
      <c r="D141" s="98">
        <f>D125+D137</f>
        <v>0</v>
      </c>
      <c r="E141" s="99">
        <f t="shared" ref="E141:K141" si="49">E125+E137</f>
        <v>0</v>
      </c>
      <c r="F141" s="99">
        <f t="shared" si="49"/>
        <v>0</v>
      </c>
      <c r="G141" s="99">
        <f t="shared" si="49"/>
        <v>0</v>
      </c>
      <c r="H141" s="99">
        <f t="shared" si="49"/>
        <v>0</v>
      </c>
      <c r="I141" s="99">
        <f t="shared" si="49"/>
        <v>0</v>
      </c>
      <c r="J141" s="99">
        <f t="shared" si="49"/>
        <v>0</v>
      </c>
      <c r="K141" s="99">
        <f t="shared" si="49"/>
        <v>0</v>
      </c>
      <c r="L141" s="98">
        <f>SUM(D141:INDEX(D141:K141,0,MATCH('RFPR cover'!$C$7,$D$6:$K$6,0)))</f>
        <v>0</v>
      </c>
      <c r="M141" s="100">
        <f>SUM(D141:K141)</f>
        <v>0</v>
      </c>
    </row>
    <row r="142" spans="1:20">
      <c r="A142" s="35"/>
      <c r="B142" s="785" t="s">
        <v>11</v>
      </c>
      <c r="C142" s="156" t="s">
        <v>128</v>
      </c>
      <c r="D142" s="139">
        <f>SUM(D140:D141)</f>
        <v>0</v>
      </c>
      <c r="E142" s="140">
        <f t="shared" ref="E142:K142" si="50">SUM(E140:E141)</f>
        <v>0</v>
      </c>
      <c r="F142" s="140">
        <f t="shared" si="50"/>
        <v>0</v>
      </c>
      <c r="G142" s="140">
        <f t="shared" si="50"/>
        <v>0</v>
      </c>
      <c r="H142" s="140">
        <f t="shared" si="50"/>
        <v>0</v>
      </c>
      <c r="I142" s="140">
        <f t="shared" si="50"/>
        <v>0</v>
      </c>
      <c r="J142" s="140">
        <f t="shared" si="50"/>
        <v>0</v>
      </c>
      <c r="K142" s="140">
        <f t="shared" si="50"/>
        <v>0</v>
      </c>
      <c r="L142" s="139">
        <f>SUM(D142:INDEX(D142:K142,0,MATCH('RFPR cover'!$C$7,$D$6:$K$6,0)))</f>
        <v>0</v>
      </c>
      <c r="M142" s="141">
        <f>SUM(D142:K142)</f>
        <v>0</v>
      </c>
    </row>
    <row r="143" spans="1:20">
      <c r="A143" s="35"/>
      <c r="B143" s="785"/>
      <c r="C143" s="156"/>
      <c r="D143" s="156"/>
      <c r="E143" s="156"/>
      <c r="F143" s="156"/>
      <c r="G143" s="156"/>
      <c r="H143" s="156"/>
      <c r="I143" s="156"/>
      <c r="J143" s="156"/>
      <c r="K143" s="156"/>
      <c r="L143" s="156"/>
      <c r="M143" s="156"/>
    </row>
    <row r="144" spans="1:20">
      <c r="A144" s="35"/>
      <c r="B144" s="780" t="s">
        <v>255</v>
      </c>
      <c r="C144" s="150"/>
      <c r="D144" s="82"/>
      <c r="E144" s="82"/>
      <c r="F144" s="82"/>
      <c r="G144" s="82"/>
      <c r="H144" s="82"/>
      <c r="I144" s="82"/>
      <c r="J144" s="82"/>
      <c r="K144" s="82"/>
      <c r="L144" s="82"/>
      <c r="M144" s="82"/>
      <c r="N144" s="82"/>
    </row>
    <row r="145" spans="1:20">
      <c r="A145" s="35"/>
      <c r="B145" s="777"/>
      <c r="O145"/>
      <c r="P145"/>
      <c r="Q145"/>
      <c r="R145"/>
      <c r="S145"/>
      <c r="T145"/>
    </row>
    <row r="146" spans="1:20">
      <c r="A146" s="35"/>
      <c r="B146" s="785" t="s">
        <v>180</v>
      </c>
    </row>
    <row r="147" spans="1:20">
      <c r="A147" s="35"/>
      <c r="B147" s="777" t="s">
        <v>179</v>
      </c>
      <c r="C147" s="155" t="s">
        <v>128</v>
      </c>
      <c r="D147" s="95">
        <f>D112+D140</f>
        <v>0</v>
      </c>
      <c r="E147" s="96">
        <f t="shared" ref="E147:K147" si="51">E112+E140</f>
        <v>0</v>
      </c>
      <c r="F147" s="96">
        <f t="shared" si="51"/>
        <v>0</v>
      </c>
      <c r="G147" s="96">
        <f t="shared" si="51"/>
        <v>-7.8335852999753541E-3</v>
      </c>
      <c r="H147" s="96">
        <f t="shared" si="51"/>
        <v>-4.7779689084243078</v>
      </c>
      <c r="I147" s="96">
        <f t="shared" si="51"/>
        <v>-4.8590354557343485</v>
      </c>
      <c r="J147" s="96">
        <f t="shared" si="51"/>
        <v>-5.0160269552909176</v>
      </c>
      <c r="K147" s="96">
        <f t="shared" si="51"/>
        <v>-5.1888307390529302</v>
      </c>
      <c r="L147" s="95">
        <f>SUM(D147:INDEX(D147:K147,0,MATCH('RFPR cover'!$C$7,$D$6:$K$6,0)))</f>
        <v>-9.6448379494586316</v>
      </c>
      <c r="M147" s="97">
        <f>SUM(D147:K147)</f>
        <v>-19.849695643802477</v>
      </c>
    </row>
    <row r="148" spans="1:20">
      <c r="A148" s="35"/>
      <c r="B148" s="777" t="s">
        <v>278</v>
      </c>
      <c r="C148" s="155" t="s">
        <v>128</v>
      </c>
      <c r="D148" s="98">
        <f t="shared" ref="D148:K148" si="52">D113+D141</f>
        <v>0</v>
      </c>
      <c r="E148" s="99">
        <f t="shared" si="52"/>
        <v>0</v>
      </c>
      <c r="F148" s="99">
        <f t="shared" si="52"/>
        <v>0</v>
      </c>
      <c r="G148" s="99">
        <f t="shared" si="52"/>
        <v>-9.0128346999716058E-3</v>
      </c>
      <c r="H148" s="99">
        <f t="shared" si="52"/>
        <v>-5.4972330451763529</v>
      </c>
      <c r="I148" s="99">
        <f t="shared" si="52"/>
        <v>-5.5905031587481222</v>
      </c>
      <c r="J148" s="99">
        <f t="shared" si="52"/>
        <v>-5.7711277872701965</v>
      </c>
      <c r="K148" s="99">
        <f t="shared" si="52"/>
        <v>-5.9699450438565993</v>
      </c>
      <c r="L148" s="98">
        <f>SUM(D148:INDEX(D148:K148,0,MATCH('RFPR cover'!$C$7,$D$6:$K$6,0)))</f>
        <v>-11.096749038624447</v>
      </c>
      <c r="M148" s="100">
        <f>SUM(D148:K148)</f>
        <v>-22.837821869751245</v>
      </c>
    </row>
    <row r="149" spans="1:20">
      <c r="A149" s="35"/>
      <c r="B149" s="785" t="s">
        <v>11</v>
      </c>
      <c r="C149" s="156" t="s">
        <v>128</v>
      </c>
      <c r="D149" s="139">
        <f>SUM(D147:D148)</f>
        <v>0</v>
      </c>
      <c r="E149" s="140">
        <f t="shared" ref="E149:K149" si="53">SUM(E147:E148)</f>
        <v>0</v>
      </c>
      <c r="F149" s="140">
        <f t="shared" si="53"/>
        <v>0</v>
      </c>
      <c r="G149" s="140">
        <f t="shared" si="53"/>
        <v>-1.684641999994696E-2</v>
      </c>
      <c r="H149" s="140">
        <f t="shared" si="53"/>
        <v>-10.275201953600661</v>
      </c>
      <c r="I149" s="140">
        <f t="shared" si="53"/>
        <v>-10.449538614482471</v>
      </c>
      <c r="J149" s="140">
        <f t="shared" si="53"/>
        <v>-10.787154742561114</v>
      </c>
      <c r="K149" s="140">
        <f t="shared" si="53"/>
        <v>-11.15877578290953</v>
      </c>
      <c r="L149" s="139">
        <f>SUM(D149:INDEX(D149:K149,0,MATCH('RFPR cover'!$C$7,$D$6:$K$6,0)))</f>
        <v>-20.741586988083078</v>
      </c>
      <c r="M149" s="141">
        <f>SUM(D149:K149)</f>
        <v>-42.687517513553722</v>
      </c>
    </row>
    <row r="150" spans="1:20">
      <c r="A150" s="35"/>
      <c r="B150" s="784"/>
      <c r="D150" s="136"/>
      <c r="E150" s="136"/>
      <c r="F150" s="136"/>
      <c r="G150" s="136"/>
      <c r="H150" s="136"/>
      <c r="I150" s="136"/>
      <c r="J150" s="136"/>
      <c r="K150" s="136"/>
    </row>
    <row r="151" spans="1:20">
      <c r="A151" s="35"/>
      <c r="B151" s="777"/>
    </row>
    <row r="152" spans="1:20">
      <c r="A152" s="82"/>
      <c r="B152" s="776"/>
      <c r="C152" s="150"/>
      <c r="D152" s="82"/>
      <c r="E152" s="82"/>
      <c r="F152" s="82"/>
      <c r="G152" s="82"/>
      <c r="H152" s="82"/>
      <c r="I152" s="82"/>
      <c r="J152" s="82"/>
      <c r="K152" s="82"/>
      <c r="L152" s="82"/>
      <c r="M152" s="82"/>
      <c r="N152" s="82"/>
    </row>
    <row r="153" spans="1:20">
      <c r="B153" s="777"/>
    </row>
    <row r="154" spans="1:20">
      <c r="B154" s="777"/>
    </row>
  </sheetData>
  <mergeCells count="4">
    <mergeCell ref="O14:Q14"/>
    <mergeCell ref="O42:Q42"/>
    <mergeCell ref="O92:Q92"/>
    <mergeCell ref="O120:Q120"/>
  </mergeCells>
  <conditionalFormatting sqref="D6:K6">
    <cfRule type="expression" dxfId="49" priority="7">
      <formula>AND(D$5="Actuals",E$5="Forecast")</formula>
    </cfRule>
  </conditionalFormatting>
  <conditionalFormatting sqref="B118:M142">
    <cfRule type="expression" dxfId="48" priority="3">
      <formula>$B$38="n/a"</formula>
    </cfRule>
  </conditionalFormatting>
  <conditionalFormatting sqref="D5:K5">
    <cfRule type="expression" dxfId="47" priority="2">
      <formula>AND(D$5="Actuals",E$5="Forecast")</formula>
    </cfRule>
  </conditionalFormatting>
  <conditionalFormatting sqref="B38:N64">
    <cfRule type="expression" dxfId="46" priority="1">
      <formula>$B$38="n/a"</formula>
    </cfRule>
  </conditionalFormatting>
  <pageMargins left="0.70866141732283472" right="0.70866141732283472" top="0.74803149606299213" bottom="0.74803149606299213" header="0.31496062992125984" footer="0.31496062992125984"/>
  <pageSetup paperSize="8" scale="32" orientation="landscape" r:id="rId1"/>
  <headerFooter>
    <oddFooter>&amp;C&amp;1#&amp;"Calibri"&amp;12&amp;K008000Internal Use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1.375" bestFit="1" customWidth="1"/>
    <col min="3" max="3" width="13.375" style="136" customWidth="1"/>
    <col min="4" max="11" width="11.125" customWidth="1"/>
    <col min="12" max="12" width="12.875" customWidth="1"/>
    <col min="13" max="13" width="12.75" customWidth="1"/>
    <col min="14" max="14" width="7.625" bestFit="1" customWidth="1"/>
  </cols>
  <sheetData>
    <row r="1" spans="1:14" s="37" customFormat="1" ht="20.25">
      <c r="A1" s="935" t="s">
        <v>260</v>
      </c>
      <c r="B1" s="936"/>
      <c r="C1" s="153"/>
      <c r="D1" s="131"/>
      <c r="E1" s="131"/>
      <c r="F1" s="131"/>
      <c r="G1" s="131"/>
      <c r="H1" s="131"/>
      <c r="I1" s="127"/>
      <c r="J1" s="127"/>
      <c r="K1" s="127"/>
      <c r="L1" s="127"/>
      <c r="M1" s="127"/>
      <c r="N1" s="128"/>
    </row>
    <row r="2" spans="1:14" s="37" customFormat="1" ht="20.25">
      <c r="A2" s="937" t="str">
        <f>'RFPR cover'!C5</f>
        <v>SPD</v>
      </c>
      <c r="B2" s="938"/>
      <c r="C2" s="154"/>
      <c r="D2" s="36"/>
      <c r="E2" s="36"/>
      <c r="F2" s="36"/>
      <c r="G2" s="36"/>
      <c r="H2" s="36"/>
      <c r="I2" s="27"/>
      <c r="J2" s="27"/>
      <c r="K2" s="27"/>
      <c r="L2" s="27"/>
      <c r="M2" s="27"/>
      <c r="N2" s="123"/>
    </row>
    <row r="3" spans="1:14" s="37" customFormat="1" ht="20.25">
      <c r="A3" s="939">
        <f>'RFPR cover'!C7</f>
        <v>2021</v>
      </c>
      <c r="B3" s="940"/>
      <c r="C3" s="135"/>
      <c r="D3" s="132"/>
      <c r="E3" s="132"/>
      <c r="F3" s="132"/>
      <c r="G3" s="132"/>
      <c r="H3" s="132"/>
      <c r="I3" s="28"/>
      <c r="J3" s="28"/>
      <c r="K3" s="28"/>
      <c r="L3" s="28"/>
      <c r="M3" s="28"/>
      <c r="N3" s="125"/>
    </row>
    <row r="4" spans="1:14" s="2" customFormat="1" ht="12.75" customHeight="1">
      <c r="B4" s="3"/>
      <c r="C4" s="136"/>
    </row>
    <row r="5" spans="1:14" s="2" customFormat="1" ht="12.75" customHeight="1">
      <c r="B5" s="3"/>
      <c r="C5" s="136"/>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row>
    <row r="6" spans="1:14" s="2" customFormat="1" ht="29.25" customHeigh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2021</v>
      </c>
      <c r="M6" s="119" t="s">
        <v>109</v>
      </c>
    </row>
    <row r="7" spans="1:14" s="2" customFormat="1">
      <c r="A7" s="35"/>
      <c r="C7" s="136"/>
    </row>
    <row r="8" spans="1:14" s="2" customFormat="1">
      <c r="A8" s="35"/>
      <c r="B8" s="116" t="s">
        <v>198</v>
      </c>
      <c r="C8" s="150"/>
      <c r="D8" s="81"/>
      <c r="E8" s="81"/>
      <c r="F8" s="81"/>
      <c r="G8" s="81"/>
      <c r="H8" s="81"/>
      <c r="I8" s="81"/>
      <c r="J8" s="81"/>
      <c r="K8" s="81"/>
      <c r="L8" s="81"/>
      <c r="M8" s="81"/>
      <c r="N8" s="81"/>
    </row>
    <row r="9" spans="1:14" s="2" customFormat="1">
      <c r="A9" s="35"/>
      <c r="B9" s="368" t="s">
        <v>376</v>
      </c>
      <c r="C9" s="368"/>
      <c r="D9" s="368"/>
      <c r="E9" s="368"/>
      <c r="F9" s="368"/>
      <c r="G9" s="368"/>
      <c r="H9" s="368"/>
      <c r="I9" s="368"/>
      <c r="J9" s="368"/>
      <c r="K9" s="368"/>
      <c r="L9" s="368"/>
      <c r="M9" s="368"/>
      <c r="N9" s="368"/>
    </row>
    <row r="10" spans="1:14" s="2" customFormat="1">
      <c r="A10" s="35"/>
      <c r="B10" s="12"/>
      <c r="C10" s="136"/>
    </row>
    <row r="11" spans="1:14" s="2" customFormat="1">
      <c r="A11" s="224" t="s">
        <v>151</v>
      </c>
      <c r="B11" s="35" t="str">
        <f>Data!B153</f>
        <v>Broad measure of customer service</v>
      </c>
      <c r="C11" s="155" t="str">
        <f>'RFPR cover'!$C$14</f>
        <v>£m 12/13</v>
      </c>
      <c r="D11" s="596">
        <v>2.5695000000000006</v>
      </c>
      <c r="E11" s="597">
        <v>2.5243500000000001</v>
      </c>
      <c r="F11" s="597">
        <v>2.8318800000000035</v>
      </c>
      <c r="G11" s="597">
        <v>3.6854851679383849</v>
      </c>
      <c r="H11" s="597">
        <v>4.0120000000000005</v>
      </c>
      <c r="I11" s="597">
        <v>3.1</v>
      </c>
      <c r="J11" s="597">
        <v>3.1</v>
      </c>
      <c r="K11" s="597">
        <v>3.1</v>
      </c>
      <c r="L11" s="673">
        <f>SUM(D11:INDEX(D11:K11,0,MATCH('RFPR cover'!$C$7,$D$6:$K$6,0)))</f>
        <v>18.723215167938392</v>
      </c>
      <c r="M11" s="674">
        <f t="shared" ref="M11:M17" si="1">SUM(D11:K11)</f>
        <v>24.923215167938395</v>
      </c>
    </row>
    <row r="12" spans="1:14" s="2" customFormat="1">
      <c r="A12" s="224" t="s">
        <v>152</v>
      </c>
      <c r="B12" s="35" t="str">
        <f>Data!B154</f>
        <v>Interruptions-related quality of service</v>
      </c>
      <c r="C12" s="155" t="str">
        <f>'RFPR cover'!$C$14</f>
        <v>£m 12/13</v>
      </c>
      <c r="D12" s="598">
        <v>6.4745755729166703</v>
      </c>
      <c r="E12" s="599">
        <v>10.071152083333331</v>
      </c>
      <c r="F12" s="599">
        <v>8.8269837139917708</v>
      </c>
      <c r="G12" s="599">
        <v>4.526340749970962</v>
      </c>
      <c r="H12" s="599">
        <v>5.3921091947831883</v>
      </c>
      <c r="I12" s="599">
        <v>7.5132796890886562</v>
      </c>
      <c r="J12" s="599">
        <v>5.25</v>
      </c>
      <c r="K12" s="599">
        <v>4</v>
      </c>
      <c r="L12" s="677">
        <f>SUM(D12:INDEX(D12:K12,0,MATCH('RFPR cover'!$C$7,$D$6:$K$6,0)))</f>
        <v>42.80444100408458</v>
      </c>
      <c r="M12" s="678">
        <f t="shared" si="1"/>
        <v>52.05444100408458</v>
      </c>
    </row>
    <row r="13" spans="1:14" s="2" customFormat="1">
      <c r="A13" s="224" t="s">
        <v>153</v>
      </c>
      <c r="B13" s="35" t="str">
        <f>Data!B155</f>
        <v>Incentive on connections engagement</v>
      </c>
      <c r="C13" s="155" t="str">
        <f>'RFPR cover'!$C$14</f>
        <v>£m 12/13</v>
      </c>
      <c r="D13" s="598">
        <v>0</v>
      </c>
      <c r="E13" s="599">
        <v>0</v>
      </c>
      <c r="F13" s="599">
        <v>0</v>
      </c>
      <c r="G13" s="599">
        <v>0</v>
      </c>
      <c r="H13" s="599">
        <v>0</v>
      </c>
      <c r="I13" s="599">
        <v>0</v>
      </c>
      <c r="J13" s="599">
        <v>0</v>
      </c>
      <c r="K13" s="599">
        <v>0</v>
      </c>
      <c r="L13" s="677">
        <f>SUM(D13:INDEX(D13:K13,0,MATCH('RFPR cover'!$C$7,$D$6:$K$6,0)))</f>
        <v>0</v>
      </c>
      <c r="M13" s="678">
        <f t="shared" si="1"/>
        <v>0</v>
      </c>
    </row>
    <row r="14" spans="1:14" s="2" customFormat="1">
      <c r="A14" s="224" t="s">
        <v>167</v>
      </c>
      <c r="B14" s="35" t="str">
        <f>Data!B156</f>
        <v>Time to Connect Incentive</v>
      </c>
      <c r="C14" s="155" t="str">
        <f>'RFPR cover'!$C$14</f>
        <v>£m 12/13</v>
      </c>
      <c r="D14" s="598">
        <v>0.96200459893724699</v>
      </c>
      <c r="E14" s="599">
        <v>0.6</v>
      </c>
      <c r="F14" s="599">
        <v>0.6</v>
      </c>
      <c r="G14" s="599">
        <v>0.6</v>
      </c>
      <c r="H14" s="599">
        <v>0.5978800878306878</v>
      </c>
      <c r="I14" s="599">
        <v>0.55268228298691302</v>
      </c>
      <c r="J14" s="599">
        <v>0.7</v>
      </c>
      <c r="K14" s="599">
        <v>0.8</v>
      </c>
      <c r="L14" s="677">
        <f>SUM(D14:INDEX(D14:K14,0,MATCH('RFPR cover'!$C$7,$D$6:$K$6,0)))</f>
        <v>3.912566969754848</v>
      </c>
      <c r="M14" s="678">
        <f t="shared" si="1"/>
        <v>5.412566969754848</v>
      </c>
    </row>
    <row r="15" spans="1:14" s="2" customFormat="1">
      <c r="A15" s="224" t="s">
        <v>168</v>
      </c>
      <c r="B15" s="35" t="str">
        <f>Data!B157</f>
        <v>Losses discretionary reward scheme</v>
      </c>
      <c r="C15" s="155" t="str">
        <f>'RFPR cover'!$C$14</f>
        <v>£m 12/13</v>
      </c>
      <c r="D15" s="598">
        <v>0</v>
      </c>
      <c r="E15" s="599">
        <v>0.38500000000000001</v>
      </c>
      <c r="F15" s="599">
        <v>0</v>
      </c>
      <c r="G15" s="599">
        <v>0</v>
      </c>
      <c r="H15" s="599">
        <v>0</v>
      </c>
      <c r="I15" s="599">
        <v>0</v>
      </c>
      <c r="J15" s="599">
        <v>0</v>
      </c>
      <c r="K15" s="599">
        <v>0</v>
      </c>
      <c r="L15" s="677">
        <f>SUM(D15:INDEX(D15:K15,0,MATCH('RFPR cover'!$C$7,$D$6:$K$6,0)))</f>
        <v>0.38500000000000001</v>
      </c>
      <c r="M15" s="678">
        <f t="shared" si="1"/>
        <v>0.38500000000000001</v>
      </c>
    </row>
    <row r="16" spans="1:14" s="2" customFormat="1">
      <c r="A16" s="224" t="s">
        <v>169</v>
      </c>
      <c r="B16" s="35" t="str">
        <f>Data!B158</f>
        <v/>
      </c>
      <c r="C16" s="155" t="str">
        <f>'RFPR cover'!$C$14</f>
        <v>£m 12/13</v>
      </c>
      <c r="D16" s="598">
        <v>0</v>
      </c>
      <c r="E16" s="599">
        <v>0</v>
      </c>
      <c r="F16" s="599">
        <v>0</v>
      </c>
      <c r="G16" s="599">
        <v>0</v>
      </c>
      <c r="H16" s="599">
        <v>0</v>
      </c>
      <c r="I16" s="599">
        <v>0</v>
      </c>
      <c r="J16" s="599">
        <v>0</v>
      </c>
      <c r="K16" s="599">
        <v>0</v>
      </c>
      <c r="L16" s="677">
        <f>SUM(D16:INDEX(D16:K16,0,MATCH('RFPR cover'!$C$7,$D$6:$K$6,0)))</f>
        <v>0</v>
      </c>
      <c r="M16" s="678">
        <f t="shared" si="1"/>
        <v>0</v>
      </c>
    </row>
    <row r="17" spans="1:16" s="2" customFormat="1">
      <c r="A17" s="224" t="s">
        <v>464</v>
      </c>
      <c r="B17" s="35" t="str">
        <f>Data!B159</f>
        <v/>
      </c>
      <c r="C17" s="155" t="str">
        <f>'RFPR cover'!$C$14</f>
        <v>£m 12/13</v>
      </c>
      <c r="D17" s="852">
        <v>0</v>
      </c>
      <c r="E17" s="853">
        <v>0</v>
      </c>
      <c r="F17" s="853">
        <v>0</v>
      </c>
      <c r="G17" s="853">
        <v>0</v>
      </c>
      <c r="H17" s="853">
        <v>0</v>
      </c>
      <c r="I17" s="853">
        <v>0</v>
      </c>
      <c r="J17" s="853">
        <v>0</v>
      </c>
      <c r="K17" s="854">
        <v>0</v>
      </c>
      <c r="L17" s="677">
        <f>SUM(D17:INDEX(D17:K17,0,MATCH('RFPR cover'!$C$7,$D$6:$K$6,0)))</f>
        <v>0</v>
      </c>
      <c r="M17" s="678">
        <f t="shared" si="1"/>
        <v>0</v>
      </c>
    </row>
    <row r="18" spans="1:16" s="2" customFormat="1">
      <c r="A18" s="35"/>
      <c r="B18" s="12" t="s">
        <v>202</v>
      </c>
      <c r="C18" s="156" t="str">
        <f>'RFPR cover'!$C$14</f>
        <v>£m 12/13</v>
      </c>
      <c r="D18" s="612">
        <f>SUM(D11:D17)</f>
        <v>10.006080171853919</v>
      </c>
      <c r="E18" s="612">
        <f t="shared" ref="E18:K18" si="2">SUM(E11:E17)</f>
        <v>13.580502083333331</v>
      </c>
      <c r="F18" s="612">
        <f t="shared" si="2"/>
        <v>12.258863713991774</v>
      </c>
      <c r="G18" s="612">
        <f t="shared" si="2"/>
        <v>8.8118259179093474</v>
      </c>
      <c r="H18" s="612">
        <f t="shared" si="2"/>
        <v>10.001989282613877</v>
      </c>
      <c r="I18" s="612">
        <f t="shared" si="2"/>
        <v>11.16596197207557</v>
      </c>
      <c r="J18" s="612">
        <f t="shared" si="2"/>
        <v>9.0499999999999989</v>
      </c>
      <c r="K18" s="612">
        <f t="shared" si="2"/>
        <v>7.8999999999999995</v>
      </c>
      <c r="L18" s="612">
        <f>SUM(L11:L17)</f>
        <v>65.825223141777826</v>
      </c>
      <c r="M18" s="612">
        <f>SUM(M11:M17)</f>
        <v>82.775223141777829</v>
      </c>
      <c r="N18" s="953"/>
    </row>
    <row r="19" spans="1:16" s="2" customFormat="1">
      <c r="A19" s="35"/>
      <c r="B19" s="12"/>
      <c r="C19" s="156"/>
      <c r="D19" s="156"/>
      <c r="E19" s="156"/>
      <c r="F19" s="156"/>
      <c r="G19" s="156"/>
      <c r="H19" s="156"/>
      <c r="I19" s="156"/>
      <c r="J19" s="156"/>
      <c r="K19" s="156"/>
      <c r="L19" s="156"/>
      <c r="M19" s="156"/>
    </row>
    <row r="20" spans="1:16" s="2" customFormat="1">
      <c r="A20" s="35"/>
      <c r="B20" s="12" t="s">
        <v>358</v>
      </c>
      <c r="C20" s="156"/>
      <c r="D20" s="156"/>
      <c r="E20" s="156"/>
      <c r="F20" s="156"/>
      <c r="G20" s="156"/>
      <c r="H20" s="156"/>
      <c r="I20" s="952"/>
      <c r="J20" s="156"/>
      <c r="K20" s="156"/>
      <c r="L20" s="952"/>
      <c r="M20" s="952"/>
      <c r="N20" s="953"/>
    </row>
    <row r="21" spans="1:16" s="2" customFormat="1">
      <c r="A21" s="269" t="str">
        <f>A11</f>
        <v>a</v>
      </c>
      <c r="B21" s="1007" t="s">
        <v>589</v>
      </c>
      <c r="C21" s="1007">
        <v>0</v>
      </c>
      <c r="D21" s="1007">
        <v>0</v>
      </c>
      <c r="E21" s="1007">
        <v>0</v>
      </c>
      <c r="F21" s="1007">
        <v>0</v>
      </c>
      <c r="G21" s="1007">
        <v>0</v>
      </c>
      <c r="H21" s="1007">
        <v>0</v>
      </c>
      <c r="I21" s="1007">
        <v>0</v>
      </c>
      <c r="J21" s="1007">
        <v>0</v>
      </c>
      <c r="K21" s="1007">
        <v>0</v>
      </c>
      <c r="L21" s="1007">
        <v>0</v>
      </c>
      <c r="M21" s="1007">
        <v>0</v>
      </c>
    </row>
    <row r="22" spans="1:16" s="2" customFormat="1">
      <c r="A22" s="269" t="str">
        <f>A12</f>
        <v>b</v>
      </c>
      <c r="B22" s="1007" t="s">
        <v>240</v>
      </c>
      <c r="C22" s="1007"/>
      <c r="D22" s="1007"/>
      <c r="E22" s="1007"/>
      <c r="F22" s="1007"/>
      <c r="G22" s="1007"/>
      <c r="H22" s="1007"/>
      <c r="I22" s="1007"/>
      <c r="J22" s="1007"/>
      <c r="K22" s="1007"/>
      <c r="L22" s="1007"/>
      <c r="M22" s="1007"/>
    </row>
    <row r="23" spans="1:16" s="2" customFormat="1">
      <c r="A23" s="269" t="str">
        <f>A13</f>
        <v>c</v>
      </c>
      <c r="B23" s="1007" t="s">
        <v>590</v>
      </c>
      <c r="C23" s="1007">
        <v>0</v>
      </c>
      <c r="D23" s="1007">
        <v>0</v>
      </c>
      <c r="E23" s="1007">
        <v>0</v>
      </c>
      <c r="F23" s="1007">
        <v>0</v>
      </c>
      <c r="G23" s="1007">
        <v>0</v>
      </c>
      <c r="H23" s="1007">
        <v>0</v>
      </c>
      <c r="I23" s="1007">
        <v>0</v>
      </c>
      <c r="J23" s="1007">
        <v>0</v>
      </c>
      <c r="K23" s="1007">
        <v>0</v>
      </c>
      <c r="L23" s="1007">
        <v>0</v>
      </c>
      <c r="M23" s="1007">
        <v>0</v>
      </c>
      <c r="N23" s="953"/>
    </row>
    <row r="24" spans="1:16" s="2" customFormat="1">
      <c r="A24" s="269" t="str">
        <f>A14</f>
        <v>d</v>
      </c>
      <c r="B24" s="1007" t="s">
        <v>240</v>
      </c>
      <c r="C24" s="1007"/>
      <c r="D24" s="1007"/>
      <c r="E24" s="1007"/>
      <c r="F24" s="1007"/>
      <c r="G24" s="1007"/>
      <c r="H24" s="1007"/>
      <c r="I24" s="1007"/>
      <c r="J24" s="1007"/>
      <c r="K24" s="1007"/>
      <c r="L24" s="1007"/>
      <c r="M24" s="1007"/>
    </row>
    <row r="25" spans="1:16" s="2" customFormat="1">
      <c r="A25" s="269" t="str">
        <f>A15</f>
        <v>e</v>
      </c>
      <c r="B25" s="1007" t="s">
        <v>591</v>
      </c>
      <c r="C25" s="1007">
        <v>0</v>
      </c>
      <c r="D25" s="1007">
        <v>0</v>
      </c>
      <c r="E25" s="1007">
        <v>0</v>
      </c>
      <c r="F25" s="1007">
        <v>0</v>
      </c>
      <c r="G25" s="1007">
        <v>0</v>
      </c>
      <c r="H25" s="1007">
        <v>0</v>
      </c>
      <c r="I25" s="1007">
        <v>0</v>
      </c>
      <c r="J25" s="1007">
        <v>0</v>
      </c>
      <c r="K25" s="1007">
        <v>0</v>
      </c>
      <c r="L25" s="1007">
        <v>0</v>
      </c>
      <c r="M25" s="1007">
        <v>0</v>
      </c>
    </row>
    <row r="26" spans="1:16" s="2" customFormat="1">
      <c r="A26" s="269" t="s">
        <v>169</v>
      </c>
      <c r="B26" s="1001" t="s">
        <v>240</v>
      </c>
      <c r="C26" s="1001"/>
      <c r="D26" s="1001"/>
      <c r="E26" s="1001"/>
      <c r="F26" s="1001"/>
      <c r="G26" s="1001"/>
      <c r="H26" s="1001"/>
      <c r="I26" s="1001"/>
      <c r="J26" s="1001"/>
      <c r="K26" s="1001"/>
      <c r="L26" s="1001"/>
      <c r="M26" s="1001"/>
    </row>
    <row r="27" spans="1:16" s="2" customFormat="1">
      <c r="A27" s="269" t="s">
        <v>464</v>
      </c>
      <c r="B27" s="1001" t="s">
        <v>240</v>
      </c>
      <c r="C27" s="1001"/>
      <c r="D27" s="1001"/>
      <c r="E27" s="1001"/>
      <c r="F27" s="1001"/>
      <c r="G27" s="1001"/>
      <c r="H27" s="1001"/>
      <c r="I27" s="1001"/>
      <c r="J27" s="1001"/>
      <c r="K27" s="1001"/>
      <c r="L27" s="1001"/>
      <c r="M27" s="1001"/>
    </row>
    <row r="28" spans="1:16" s="535" customFormat="1">
      <c r="A28" s="38"/>
      <c r="B28" s="539"/>
      <c r="C28" s="539"/>
      <c r="D28" s="539"/>
      <c r="E28" s="539"/>
      <c r="F28" s="539"/>
      <c r="G28" s="539"/>
      <c r="H28" s="539"/>
      <c r="I28" s="539"/>
      <c r="J28" s="539"/>
      <c r="K28" s="539"/>
      <c r="L28" s="539"/>
      <c r="M28" s="539"/>
    </row>
    <row r="29" spans="1:16" s="2" customFormat="1">
      <c r="B29" s="12"/>
      <c r="C29" s="136"/>
      <c r="D29" s="52"/>
      <c r="E29" s="52"/>
      <c r="F29" s="52"/>
      <c r="G29" s="52"/>
      <c r="H29" s="52"/>
      <c r="I29" s="52"/>
      <c r="J29" s="52"/>
      <c r="K29" s="52"/>
    </row>
    <row r="30" spans="1:16" s="2" customFormat="1">
      <c r="A30" s="35"/>
      <c r="B30" s="116" t="s">
        <v>199</v>
      </c>
      <c r="C30" s="150"/>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8" t="s">
        <v>210</v>
      </c>
      <c r="C32" s="291"/>
      <c r="D32" s="293"/>
      <c r="E32" s="293"/>
      <c r="F32" s="293"/>
      <c r="G32" s="293"/>
      <c r="H32" s="293"/>
      <c r="I32" s="293"/>
      <c r="J32" s="293"/>
      <c r="K32" s="293"/>
      <c r="L32" s="293"/>
      <c r="M32" s="293"/>
      <c r="N32" s="293"/>
    </row>
    <row r="33" spans="1:14" s="2" customFormat="1">
      <c r="A33" s="35"/>
      <c r="B33" s="369" t="s">
        <v>240</v>
      </c>
      <c r="C33" s="291"/>
      <c r="D33" s="293"/>
      <c r="E33" s="293"/>
      <c r="F33" s="293"/>
      <c r="G33" s="293"/>
      <c r="H33" s="293"/>
      <c r="I33" s="293"/>
      <c r="J33" s="293"/>
      <c r="K33" s="293"/>
      <c r="L33" s="293"/>
      <c r="M33" s="293"/>
      <c r="N33" s="293"/>
    </row>
    <row r="34" spans="1:14" s="2" customFormat="1">
      <c r="A34" s="35"/>
      <c r="B34" s="369" t="s">
        <v>465</v>
      </c>
      <c r="C34" s="291"/>
      <c r="D34" s="293"/>
      <c r="E34" s="293"/>
      <c r="F34" s="293"/>
      <c r="G34" s="293"/>
      <c r="H34" s="293"/>
      <c r="I34" s="293"/>
      <c r="J34" s="293"/>
      <c r="K34" s="293"/>
      <c r="L34" s="293"/>
      <c r="M34" s="293"/>
      <c r="N34" s="293"/>
    </row>
    <row r="35" spans="1:14" s="2" customFormat="1">
      <c r="A35" s="35"/>
      <c r="B35" s="369" t="s">
        <v>208</v>
      </c>
      <c r="C35" s="291"/>
      <c r="D35" s="293"/>
      <c r="E35" s="293"/>
      <c r="F35" s="293"/>
      <c r="G35" s="293"/>
      <c r="H35" s="293"/>
      <c r="I35" s="293"/>
      <c r="J35" s="293"/>
      <c r="K35" s="293"/>
      <c r="L35" s="293"/>
      <c r="M35" s="293"/>
      <c r="N35" s="293"/>
    </row>
    <row r="36" spans="1:14" s="2" customFormat="1">
      <c r="A36" s="35"/>
      <c r="B36" s="369" t="s">
        <v>201</v>
      </c>
      <c r="C36" s="291"/>
      <c r="D36" s="293"/>
      <c r="E36" s="293"/>
      <c r="F36" s="293"/>
      <c r="G36" s="293"/>
      <c r="H36" s="293"/>
      <c r="I36" s="293"/>
      <c r="J36" s="293"/>
      <c r="K36" s="293"/>
      <c r="L36" s="293"/>
      <c r="M36" s="293"/>
      <c r="N36" s="293"/>
    </row>
    <row r="37" spans="1:14" s="2" customFormat="1">
      <c r="A37" s="35"/>
      <c r="B37" s="369" t="s">
        <v>207</v>
      </c>
      <c r="C37" s="291"/>
      <c r="D37" s="293"/>
      <c r="E37" s="293"/>
      <c r="F37" s="293"/>
      <c r="G37" s="293"/>
      <c r="H37" s="293"/>
      <c r="I37" s="293"/>
      <c r="J37" s="293"/>
      <c r="K37" s="293"/>
      <c r="L37" s="293"/>
      <c r="M37" s="293"/>
      <c r="N37" s="293"/>
    </row>
    <row r="38" spans="1:14" s="2" customFormat="1">
      <c r="B38" s="12"/>
      <c r="C38" s="136"/>
    </row>
    <row r="39" spans="1:14" s="2" customFormat="1">
      <c r="A39" s="160" t="str">
        <f t="shared" ref="A39:A45" si="3">A11</f>
        <v>a</v>
      </c>
      <c r="B39" s="35" t="str">
        <f>$B$11&amp;""</f>
        <v>Broad measure of customer service</v>
      </c>
      <c r="C39" s="155" t="str">
        <f>'RFPR cover'!$C$14</f>
        <v>£m 12/13</v>
      </c>
      <c r="D39" s="673">
        <f>D51</f>
        <v>2.0812950000000008</v>
      </c>
      <c r="E39" s="673">
        <f t="shared" ref="E39:K39" si="4">E51</f>
        <v>2.0447235000000004</v>
      </c>
      <c r="F39" s="673">
        <f t="shared" si="4"/>
        <v>2.2938228000000032</v>
      </c>
      <c r="G39" s="673">
        <f t="shared" si="4"/>
        <v>2.9852429860300917</v>
      </c>
      <c r="H39" s="673">
        <f t="shared" si="4"/>
        <v>3.2497200000000004</v>
      </c>
      <c r="I39" s="673">
        <f t="shared" si="4"/>
        <v>2.5110000000000001</v>
      </c>
      <c r="J39" s="673">
        <f t="shared" si="4"/>
        <v>2.5110000000000001</v>
      </c>
      <c r="K39" s="673">
        <f t="shared" si="4"/>
        <v>2.3250000000000002</v>
      </c>
      <c r="L39" s="673">
        <f>SUM(D39:INDEX(D39:K39,0,MATCH('RFPR cover'!$C$7,$D$6:$K$6,0)))</f>
        <v>15.165804286030095</v>
      </c>
      <c r="M39" s="674">
        <f t="shared" ref="M39:M45" si="5">SUM(D39:K39)</f>
        <v>20.001804286030094</v>
      </c>
    </row>
    <row r="40" spans="1:14" s="2" customFormat="1">
      <c r="A40" s="160" t="str">
        <f t="shared" si="3"/>
        <v>b</v>
      </c>
      <c r="B40" s="35" t="str">
        <f>$B$12&amp;""</f>
        <v>Interruptions-related quality of service</v>
      </c>
      <c r="C40" s="155" t="str">
        <f>'RFPR cover'!$C$14</f>
        <v>£m 12/13</v>
      </c>
      <c r="D40" s="673">
        <f>D55</f>
        <v>5.2444062140625034</v>
      </c>
      <c r="E40" s="673">
        <f t="shared" ref="E40:K40" si="6">E55</f>
        <v>8.1576331874999983</v>
      </c>
      <c r="F40" s="673">
        <f t="shared" si="6"/>
        <v>7.1498568083333351</v>
      </c>
      <c r="G40" s="673">
        <f t="shared" si="6"/>
        <v>3.6663360074764797</v>
      </c>
      <c r="H40" s="673">
        <f t="shared" si="6"/>
        <v>4.3676084477743826</v>
      </c>
      <c r="I40" s="673">
        <f t="shared" si="6"/>
        <v>6.0857565481618119</v>
      </c>
      <c r="J40" s="673">
        <f t="shared" si="6"/>
        <v>4.2525000000000004</v>
      </c>
      <c r="K40" s="673">
        <f t="shared" si="6"/>
        <v>3</v>
      </c>
      <c r="L40" s="677">
        <f>SUM(D40:INDEX(D40:K40,0,MATCH('RFPR cover'!$C$7,$D$6:$K$6,0)))</f>
        <v>34.671597213308516</v>
      </c>
      <c r="M40" s="678">
        <f t="shared" si="5"/>
        <v>41.924097213308514</v>
      </c>
    </row>
    <row r="41" spans="1:14" s="2" customFormat="1">
      <c r="A41" s="160" t="str">
        <f t="shared" si="3"/>
        <v>c</v>
      </c>
      <c r="B41" s="35" t="str">
        <f>$B$13&amp;""</f>
        <v>Incentive on connections engagement</v>
      </c>
      <c r="C41" s="155" t="str">
        <f>'RFPR cover'!$C$14</f>
        <v>£m 12/13</v>
      </c>
      <c r="D41" s="673">
        <f>D59</f>
        <v>0</v>
      </c>
      <c r="E41" s="673">
        <f t="shared" ref="E41:K41" si="7">E59</f>
        <v>0</v>
      </c>
      <c r="F41" s="673">
        <f t="shared" si="7"/>
        <v>0</v>
      </c>
      <c r="G41" s="673">
        <f t="shared" si="7"/>
        <v>0</v>
      </c>
      <c r="H41" s="673">
        <f t="shared" si="7"/>
        <v>0</v>
      </c>
      <c r="I41" s="673">
        <f t="shared" si="7"/>
        <v>0</v>
      </c>
      <c r="J41" s="673">
        <f t="shared" si="7"/>
        <v>0</v>
      </c>
      <c r="K41" s="673">
        <f t="shared" si="7"/>
        <v>0</v>
      </c>
      <c r="L41" s="677">
        <f>SUM(D41:INDEX(D41:K41,0,MATCH('RFPR cover'!$C$7,$D$6:$K$6,0)))</f>
        <v>0</v>
      </c>
      <c r="M41" s="678">
        <f t="shared" si="5"/>
        <v>0</v>
      </c>
    </row>
    <row r="42" spans="1:14" s="2" customFormat="1">
      <c r="A42" s="160" t="str">
        <f t="shared" si="3"/>
        <v>d</v>
      </c>
      <c r="B42" s="35" t="str">
        <f>$B$14&amp;""</f>
        <v>Time to Connect Incentive</v>
      </c>
      <c r="C42" s="155" t="str">
        <f>'RFPR cover'!$C$14</f>
        <v>£m 12/13</v>
      </c>
      <c r="D42" s="673">
        <f>D63</f>
        <v>0.77922372513917015</v>
      </c>
      <c r="E42" s="673">
        <f t="shared" ref="E42:K42" si="8">E63</f>
        <v>0.48599999999999999</v>
      </c>
      <c r="F42" s="673">
        <f t="shared" si="8"/>
        <v>0.48599999999999999</v>
      </c>
      <c r="G42" s="673">
        <f t="shared" si="8"/>
        <v>0.48599999999999999</v>
      </c>
      <c r="H42" s="673">
        <f t="shared" si="8"/>
        <v>0.48428287114285717</v>
      </c>
      <c r="I42" s="673">
        <f t="shared" si="8"/>
        <v>0.44767264921939959</v>
      </c>
      <c r="J42" s="673">
        <f t="shared" si="8"/>
        <v>0.56699999999999995</v>
      </c>
      <c r="K42" s="673">
        <f t="shared" si="8"/>
        <v>0.60000000000000009</v>
      </c>
      <c r="L42" s="677">
        <f>SUM(D42:INDEX(D42:K42,0,MATCH('RFPR cover'!$C$7,$D$6:$K$6,0)))</f>
        <v>3.1691792455014269</v>
      </c>
      <c r="M42" s="678">
        <f t="shared" si="5"/>
        <v>4.3361792455014267</v>
      </c>
    </row>
    <row r="43" spans="1:14" s="2" customFormat="1">
      <c r="A43" s="160" t="str">
        <f t="shared" si="3"/>
        <v>e</v>
      </c>
      <c r="B43" s="35" t="str">
        <f>$B$15&amp;""</f>
        <v>Losses discretionary reward scheme</v>
      </c>
      <c r="C43" s="155" t="str">
        <f>'RFPR cover'!$C$14</f>
        <v>£m 12/13</v>
      </c>
      <c r="D43" s="673">
        <f>D67</f>
        <v>0</v>
      </c>
      <c r="E43" s="673">
        <f t="shared" ref="E43:K43" si="9">E67</f>
        <v>0.31185000000000002</v>
      </c>
      <c r="F43" s="673">
        <f t="shared" si="9"/>
        <v>0</v>
      </c>
      <c r="G43" s="673">
        <f t="shared" si="9"/>
        <v>0</v>
      </c>
      <c r="H43" s="673">
        <f t="shared" si="9"/>
        <v>0</v>
      </c>
      <c r="I43" s="673">
        <f t="shared" si="9"/>
        <v>0</v>
      </c>
      <c r="J43" s="673">
        <f t="shared" si="9"/>
        <v>0</v>
      </c>
      <c r="K43" s="673">
        <f t="shared" si="9"/>
        <v>0</v>
      </c>
      <c r="L43" s="677">
        <f>SUM(D43:INDEX(D43:K43,0,MATCH('RFPR cover'!$C$7,$D$6:$K$6,0)))</f>
        <v>0.31185000000000002</v>
      </c>
      <c r="M43" s="678">
        <f t="shared" si="5"/>
        <v>0.31185000000000002</v>
      </c>
    </row>
    <row r="44" spans="1:14" s="2" customFormat="1">
      <c r="A44" s="160" t="str">
        <f t="shared" si="3"/>
        <v>f</v>
      </c>
      <c r="B44" s="35" t="str">
        <f>$B$16&amp;""</f>
        <v/>
      </c>
      <c r="C44" s="155" t="str">
        <f>'RFPR cover'!$C$14</f>
        <v>£m 12/13</v>
      </c>
      <c r="D44" s="673">
        <f>D71</f>
        <v>0</v>
      </c>
      <c r="E44" s="673">
        <f t="shared" ref="E44:K44" si="10">E71</f>
        <v>0</v>
      </c>
      <c r="F44" s="673">
        <f t="shared" si="10"/>
        <v>0</v>
      </c>
      <c r="G44" s="673">
        <f t="shared" si="10"/>
        <v>0</v>
      </c>
      <c r="H44" s="673">
        <f t="shared" si="10"/>
        <v>0</v>
      </c>
      <c r="I44" s="673">
        <f t="shared" si="10"/>
        <v>0</v>
      </c>
      <c r="J44" s="673">
        <f t="shared" si="10"/>
        <v>0</v>
      </c>
      <c r="K44" s="673">
        <f t="shared" si="10"/>
        <v>0</v>
      </c>
      <c r="L44" s="677">
        <f>SUM(D44:INDEX(D44:K44,0,MATCH('RFPR cover'!$C$7,$D$6:$K$6,0)))</f>
        <v>0</v>
      </c>
      <c r="M44" s="678">
        <f t="shared" si="5"/>
        <v>0</v>
      </c>
    </row>
    <row r="45" spans="1:14" s="2" customFormat="1">
      <c r="A45" s="160" t="str">
        <f t="shared" si="3"/>
        <v>g</v>
      </c>
      <c r="B45" s="35" t="str">
        <f>$B$17&amp;""</f>
        <v/>
      </c>
      <c r="C45" s="155" t="str">
        <f>'RFPR cover'!$C$14</f>
        <v>£m 12/13</v>
      </c>
      <c r="D45" s="673">
        <f>D75</f>
        <v>0</v>
      </c>
      <c r="E45" s="673">
        <f t="shared" ref="E45:K45" si="11">E75</f>
        <v>0</v>
      </c>
      <c r="F45" s="673">
        <f t="shared" si="11"/>
        <v>0</v>
      </c>
      <c r="G45" s="673">
        <f t="shared" si="11"/>
        <v>0</v>
      </c>
      <c r="H45" s="673">
        <f t="shared" si="11"/>
        <v>0</v>
      </c>
      <c r="I45" s="673">
        <f t="shared" si="11"/>
        <v>0</v>
      </c>
      <c r="J45" s="673">
        <f t="shared" si="11"/>
        <v>0</v>
      </c>
      <c r="K45" s="673">
        <f t="shared" si="11"/>
        <v>0</v>
      </c>
      <c r="L45" s="677">
        <f>SUM(D45:INDEX(D45:K45,0,MATCH('RFPR cover'!$C$7,$D$6:$K$6,0)))</f>
        <v>0</v>
      </c>
      <c r="M45" s="678">
        <f t="shared" si="5"/>
        <v>0</v>
      </c>
    </row>
    <row r="46" spans="1:14" s="2" customFormat="1">
      <c r="B46" s="12" t="s">
        <v>203</v>
      </c>
      <c r="C46" s="156" t="str">
        <f>'RFPR cover'!$C$14</f>
        <v>£m 12/13</v>
      </c>
      <c r="D46" s="612">
        <f>SUM(D39:D45)</f>
        <v>8.1049249392016751</v>
      </c>
      <c r="E46" s="612">
        <f t="shared" ref="E46:M46" si="12">SUM(E39:E45)</f>
        <v>11.000206687499999</v>
      </c>
      <c r="F46" s="612">
        <f t="shared" si="12"/>
        <v>9.9296796083333394</v>
      </c>
      <c r="G46" s="612">
        <f t="shared" si="12"/>
        <v>7.1375789935065717</v>
      </c>
      <c r="H46" s="613">
        <f t="shared" si="12"/>
        <v>8.1016113189172412</v>
      </c>
      <c r="I46" s="613">
        <f t="shared" si="12"/>
        <v>9.044429197381211</v>
      </c>
      <c r="J46" s="613">
        <f t="shared" si="12"/>
        <v>7.3305000000000007</v>
      </c>
      <c r="K46" s="613">
        <f t="shared" si="12"/>
        <v>5.9250000000000007</v>
      </c>
      <c r="L46" s="612">
        <f t="shared" si="12"/>
        <v>53.318430744840036</v>
      </c>
      <c r="M46" s="612">
        <f t="shared" si="12"/>
        <v>66.573930744840041</v>
      </c>
    </row>
    <row r="47" spans="1:14" s="2" customFormat="1">
      <c r="B47" s="12"/>
      <c r="C47" s="156"/>
      <c r="D47" s="156"/>
      <c r="E47" s="156"/>
      <c r="F47" s="156"/>
      <c r="G47" s="156"/>
      <c r="H47" s="156"/>
      <c r="I47" s="156"/>
      <c r="J47" s="156"/>
      <c r="K47" s="156"/>
      <c r="L47" s="156"/>
      <c r="M47" s="156"/>
    </row>
    <row r="48" spans="1:14" s="2" customFormat="1">
      <c r="B48" s="12"/>
      <c r="C48" s="156"/>
      <c r="D48" s="161"/>
      <c r="E48" s="156"/>
      <c r="F48" s="156"/>
      <c r="G48" s="156"/>
      <c r="H48" s="156"/>
      <c r="I48" s="156"/>
      <c r="J48" s="156"/>
      <c r="K48" s="156"/>
      <c r="L48" s="156"/>
      <c r="M48" s="156"/>
    </row>
    <row r="49" spans="1:13" s="2" customFormat="1">
      <c r="A49" s="160" t="str">
        <f>$A$11</f>
        <v>a</v>
      </c>
      <c r="B49" s="171" t="str">
        <f>INDEX($B$11:$B$15,MATCH($A49,$A$11:$A$15,0),0)&amp;""</f>
        <v>Broad measure of customer service</v>
      </c>
      <c r="C49" s="155" t="str">
        <f>'RFPR cover'!$C$14</f>
        <v>£m 12/13</v>
      </c>
      <c r="D49" s="786">
        <f>INDEX($D$11:$K$17,MATCH($A49,$A$11:$A$17,0),0)</f>
        <v>2.5695000000000006</v>
      </c>
      <c r="E49" s="786">
        <f t="shared" ref="E49:K49" si="13">INDEX($D$11:$K$17,MATCH($A49,$A$11:$A$17,0),0)</f>
        <v>2.5243500000000001</v>
      </c>
      <c r="F49" s="786">
        <f t="shared" si="13"/>
        <v>2.8318800000000035</v>
      </c>
      <c r="G49" s="786">
        <f t="shared" si="13"/>
        <v>3.6854851679383849</v>
      </c>
      <c r="H49" s="786">
        <f t="shared" si="13"/>
        <v>4.0120000000000005</v>
      </c>
      <c r="I49" s="786">
        <f t="shared" si="13"/>
        <v>3.1</v>
      </c>
      <c r="J49" s="786">
        <f t="shared" si="13"/>
        <v>3.1</v>
      </c>
      <c r="K49" s="786">
        <f t="shared" si="13"/>
        <v>3.1</v>
      </c>
      <c r="L49" s="786">
        <f>SUM(D49:INDEX(D49:K49,0,MATCH('RFPR cover'!$C$7,$D$6:$K$6,0)))</f>
        <v>18.723215167938392</v>
      </c>
      <c r="M49" s="787">
        <f>SUM(D49:K49)</f>
        <v>24.923215167938395</v>
      </c>
    </row>
    <row r="50" spans="1:13" s="2" customFormat="1">
      <c r="A50" s="160"/>
      <c r="B50" s="35" t="s">
        <v>200</v>
      </c>
      <c r="C50" s="294" t="s">
        <v>201</v>
      </c>
      <c r="D50" s="890">
        <f>IF($C50=$B$33,$B$33,INDEX(Data!$G$14:$G$30,MATCH('R5 - Output Incentives'!D$6+RIGHT('R5 - Output Incentives'!$C50,2),Data!$C$14:$C$30,0),0))</f>
        <v>0.19</v>
      </c>
      <c r="E50" s="891">
        <f>IF($C50=$B$33,$B$33,INDEX(Data!$G$14:$G$30,MATCH('R5 - Output Incentives'!E$6+RIGHT('R5 - Output Incentives'!$C50,2),Data!$C$14:$C$30,0),0))</f>
        <v>0.19</v>
      </c>
      <c r="F50" s="891">
        <f>IF($C50=$B$33,$B$33,INDEX(Data!$G$14:$G$30,MATCH('R5 - Output Incentives'!F$6+RIGHT('R5 - Output Incentives'!$C50,2),Data!$C$14:$C$30,0),0))</f>
        <v>0.19</v>
      </c>
      <c r="G50" s="891">
        <f>IF($C50=$B$33,$B$33,INDEX(Data!$G$14:$G$30,MATCH('R5 - Output Incentives'!G$6+RIGHT('R5 - Output Incentives'!$C50,2),Data!$C$14:$C$30,0),0))</f>
        <v>0.19</v>
      </c>
      <c r="H50" s="891">
        <f>IF($C50=$B$33,$B$33,INDEX(Data!$G$14:$G$30,MATCH('R5 - Output Incentives'!H$6+RIGHT('R5 - Output Incentives'!$C50,2),Data!$C$14:$C$30,0),0))</f>
        <v>0.19</v>
      </c>
      <c r="I50" s="891">
        <f>IF($C50=$B$33,$B$33,INDEX(Data!$G$14:$G$30,MATCH('R5 - Output Incentives'!I$6+RIGHT('R5 - Output Incentives'!$C50,2),Data!$C$14:$C$30,0),0))</f>
        <v>0.19</v>
      </c>
      <c r="J50" s="891">
        <f>IF($C50=$B$33,$B$33,INDEX(Data!$G$14:$G$30,MATCH('R5 - Output Incentives'!J$6+RIGHT('R5 - Output Incentives'!$C50,2),Data!$C$14:$C$30,0),0))</f>
        <v>0.19</v>
      </c>
      <c r="K50" s="892">
        <f>IF($C50=$B$33,$B$33,INDEX(Data!$G$14:$G$30,MATCH('R5 - Output Incentives'!K$6+RIGHT('R5 - Output Incentives'!$C50,2),Data!$C$14:$C$30,0),0))</f>
        <v>0.25</v>
      </c>
      <c r="L50" s="788"/>
      <c r="M50" s="789"/>
    </row>
    <row r="51" spans="1:13" s="2" customFormat="1">
      <c r="A51" s="160"/>
      <c r="B51" s="35" t="s">
        <v>209</v>
      </c>
      <c r="C51" s="155"/>
      <c r="D51" s="612">
        <f>IFERROR(D49*(1-D50),0)</f>
        <v>2.0812950000000008</v>
      </c>
      <c r="E51" s="613">
        <f t="shared" ref="E51:K51" si="14">IFERROR(E49*(1-E50),0)</f>
        <v>2.0447235000000004</v>
      </c>
      <c r="F51" s="613">
        <f t="shared" si="14"/>
        <v>2.2938228000000032</v>
      </c>
      <c r="G51" s="613">
        <f t="shared" si="14"/>
        <v>2.9852429860300917</v>
      </c>
      <c r="H51" s="613">
        <f t="shared" si="14"/>
        <v>3.2497200000000004</v>
      </c>
      <c r="I51" s="613">
        <f t="shared" si="14"/>
        <v>2.5110000000000001</v>
      </c>
      <c r="J51" s="613">
        <f t="shared" si="14"/>
        <v>2.5110000000000001</v>
      </c>
      <c r="K51" s="613">
        <f t="shared" si="14"/>
        <v>2.3250000000000002</v>
      </c>
      <c r="L51" s="671">
        <f>SUM(D51:INDEX(D51:K51,0,MATCH('RFPR cover'!$C$7,$D$6:$K$6,0)))</f>
        <v>15.165804286030095</v>
      </c>
      <c r="M51" s="672">
        <f>SUM(D51:K51)</f>
        <v>20.001804286030094</v>
      </c>
    </row>
    <row r="52" spans="1:13" s="2" customFormat="1">
      <c r="A52" s="160"/>
      <c r="B52" s="51"/>
      <c r="C52" s="156"/>
      <c r="D52" s="156"/>
      <c r="E52" s="156"/>
      <c r="F52" s="156"/>
      <c r="G52" s="156"/>
      <c r="H52" s="156"/>
      <c r="I52" s="156"/>
      <c r="J52" s="156"/>
      <c r="K52" s="156"/>
      <c r="L52" s="156"/>
      <c r="M52" s="156"/>
    </row>
    <row r="53" spans="1:13" s="2" customFormat="1">
      <c r="A53" s="160" t="str">
        <f>$A$12</f>
        <v>b</v>
      </c>
      <c r="B53" s="171" t="str">
        <f>INDEX($B$11:$B$15,MATCH($A53,$A$11:$A$15,0),0)&amp;""</f>
        <v>Interruptions-related quality of service</v>
      </c>
      <c r="C53" s="155" t="str">
        <f>'RFPR cover'!$C$14</f>
        <v>£m 12/13</v>
      </c>
      <c r="D53" s="786">
        <f>INDEX($D$11:$K$17,MATCH($A53,$A$11:$A$17,0),0)</f>
        <v>6.4745755729166703</v>
      </c>
      <c r="E53" s="786">
        <f t="shared" ref="E53:K53" si="15">INDEX($D$11:$K$17,MATCH($A53,$A$11:$A$17,0),0)</f>
        <v>10.071152083333331</v>
      </c>
      <c r="F53" s="786">
        <f t="shared" si="15"/>
        <v>8.8269837139917708</v>
      </c>
      <c r="G53" s="786">
        <f t="shared" si="15"/>
        <v>4.526340749970962</v>
      </c>
      <c r="H53" s="786">
        <f t="shared" si="15"/>
        <v>5.3921091947831883</v>
      </c>
      <c r="I53" s="786">
        <f t="shared" si="15"/>
        <v>7.5132796890886562</v>
      </c>
      <c r="J53" s="786">
        <f t="shared" si="15"/>
        <v>5.25</v>
      </c>
      <c r="K53" s="786">
        <f t="shared" si="15"/>
        <v>4</v>
      </c>
      <c r="L53" s="673">
        <f>SUM(D53:INDEX(D53:K53,0,MATCH('RFPR cover'!$C$7,$D$6:$K$6,0)))</f>
        <v>42.80444100408458</v>
      </c>
      <c r="M53" s="674">
        <f>SUM(D53:K53)</f>
        <v>52.05444100408458</v>
      </c>
    </row>
    <row r="54" spans="1:13" s="2" customFormat="1">
      <c r="A54" s="160"/>
      <c r="B54" s="35" t="s">
        <v>200</v>
      </c>
      <c r="C54" s="294" t="s">
        <v>201</v>
      </c>
      <c r="D54" s="890">
        <f>IF($C54=$B$33,$B$33,INDEX(Data!$G$14:$G$30,MATCH('R5 - Output Incentives'!D$6+RIGHT('R5 - Output Incentives'!$C54,2),Data!$C$14:$C$30,0),0))</f>
        <v>0.19</v>
      </c>
      <c r="E54" s="891">
        <f>IF($C54=$B$33,$B$33,INDEX(Data!$G$14:$G$30,MATCH('R5 - Output Incentives'!E$6+RIGHT('R5 - Output Incentives'!$C54,2),Data!$C$14:$C$30,0),0))</f>
        <v>0.19</v>
      </c>
      <c r="F54" s="891">
        <f>IF($C54=$B$33,$B$33,INDEX(Data!$G$14:$G$30,MATCH('R5 - Output Incentives'!F$6+RIGHT('R5 - Output Incentives'!$C54,2),Data!$C$14:$C$30,0),0))</f>
        <v>0.19</v>
      </c>
      <c r="G54" s="891">
        <f>IF($C54=$B$33,$B$33,INDEX(Data!$G$14:$G$30,MATCH('R5 - Output Incentives'!G$6+RIGHT('R5 - Output Incentives'!$C54,2),Data!$C$14:$C$30,0),0))</f>
        <v>0.19</v>
      </c>
      <c r="H54" s="891">
        <f>IF($C54=$B$33,$B$33,INDEX(Data!$G$14:$G$30,MATCH('R5 - Output Incentives'!H$6+RIGHT('R5 - Output Incentives'!$C54,2),Data!$C$14:$C$30,0),0))</f>
        <v>0.19</v>
      </c>
      <c r="I54" s="891">
        <f>IF($C54=$B$33,$B$33,INDEX(Data!$G$14:$G$30,MATCH('R5 - Output Incentives'!I$6+RIGHT('R5 - Output Incentives'!$C54,2),Data!$C$14:$C$30,0),0))</f>
        <v>0.19</v>
      </c>
      <c r="J54" s="891">
        <f>IF($C54=$B$33,$B$33,INDEX(Data!$G$14:$G$30,MATCH('R5 - Output Incentives'!J$6+RIGHT('R5 - Output Incentives'!$C54,2),Data!$C$14:$C$30,0),0))</f>
        <v>0.19</v>
      </c>
      <c r="K54" s="892">
        <f>IF($C54=$B$33,$B$33,INDEX(Data!$G$14:$G$30,MATCH('R5 - Output Incentives'!K$6+RIGHT('R5 - Output Incentives'!$C54,2),Data!$C$14:$C$30,0),0))</f>
        <v>0.25</v>
      </c>
      <c r="L54" s="788"/>
      <c r="M54" s="789"/>
    </row>
    <row r="55" spans="1:13" s="2" customFormat="1">
      <c r="A55" s="160"/>
      <c r="B55" s="35" t="s">
        <v>209</v>
      </c>
      <c r="C55" s="155"/>
      <c r="D55" s="612">
        <f>IFERROR(D53*(1-D54),0)</f>
        <v>5.2444062140625034</v>
      </c>
      <c r="E55" s="613">
        <f t="shared" ref="E55:K55" si="16">IFERROR(E53*(1-E54),0)</f>
        <v>8.1576331874999983</v>
      </c>
      <c r="F55" s="613">
        <f t="shared" si="16"/>
        <v>7.1498568083333351</v>
      </c>
      <c r="G55" s="613">
        <f t="shared" si="16"/>
        <v>3.6663360074764797</v>
      </c>
      <c r="H55" s="613">
        <f t="shared" si="16"/>
        <v>4.3676084477743826</v>
      </c>
      <c r="I55" s="613">
        <f t="shared" si="16"/>
        <v>6.0857565481618119</v>
      </c>
      <c r="J55" s="613">
        <f t="shared" si="16"/>
        <v>4.2525000000000004</v>
      </c>
      <c r="K55" s="613">
        <f t="shared" si="16"/>
        <v>3</v>
      </c>
      <c r="L55" s="671">
        <f>SUM(D55:INDEX(D55:K55,0,MATCH('RFPR cover'!$C$7,$D$6:$K$6,0)))</f>
        <v>34.671597213308516</v>
      </c>
      <c r="M55" s="672">
        <f>SUM(D55:K55)</f>
        <v>41.924097213308514</v>
      </c>
    </row>
    <row r="56" spans="1:13" s="2" customFormat="1">
      <c r="A56" s="160"/>
      <c r="B56" s="51"/>
      <c r="C56" s="156"/>
      <c r="D56" s="156"/>
      <c r="E56" s="156"/>
      <c r="F56" s="156"/>
      <c r="G56" s="156"/>
      <c r="H56" s="156"/>
      <c r="I56" s="156"/>
      <c r="J56" s="156"/>
      <c r="K56" s="156"/>
      <c r="L56" s="156"/>
      <c r="M56" s="156"/>
    </row>
    <row r="57" spans="1:13" s="2" customFormat="1">
      <c r="A57" s="160" t="str">
        <f>$A$13</f>
        <v>c</v>
      </c>
      <c r="B57" s="171" t="str">
        <f>INDEX($B$11:$B$15,MATCH($A57,$A$11:$A$15,0),0)&amp;""</f>
        <v>Incentive on connections engagement</v>
      </c>
      <c r="C57" s="155" t="str">
        <f>'RFPR cover'!$C$14</f>
        <v>£m 12/13</v>
      </c>
      <c r="D57" s="786">
        <f>INDEX($D$11:$K$17,MATCH($A57,$A$11:$A$17,0),0)</f>
        <v>0</v>
      </c>
      <c r="E57" s="786">
        <f t="shared" ref="E57:K57" si="17">INDEX($D$11:$K$17,MATCH($A57,$A$11:$A$17,0),0)</f>
        <v>0</v>
      </c>
      <c r="F57" s="786">
        <f t="shared" si="17"/>
        <v>0</v>
      </c>
      <c r="G57" s="786">
        <f t="shared" si="17"/>
        <v>0</v>
      </c>
      <c r="H57" s="786">
        <f t="shared" si="17"/>
        <v>0</v>
      </c>
      <c r="I57" s="786">
        <f t="shared" si="17"/>
        <v>0</v>
      </c>
      <c r="J57" s="786">
        <f t="shared" si="17"/>
        <v>0</v>
      </c>
      <c r="K57" s="786">
        <f t="shared" si="17"/>
        <v>0</v>
      </c>
      <c r="L57" s="673">
        <f>SUM(D57:INDEX(D57:K57,0,MATCH('RFPR cover'!$C$7,$D$6:$K$6,0)))</f>
        <v>0</v>
      </c>
      <c r="M57" s="674">
        <f>SUM(D57:K57)</f>
        <v>0</v>
      </c>
    </row>
    <row r="58" spans="1:13" s="2" customFormat="1">
      <c r="A58" s="160"/>
      <c r="B58" s="35" t="s">
        <v>200</v>
      </c>
      <c r="C58" s="294" t="s">
        <v>207</v>
      </c>
      <c r="D58" s="890">
        <f>IF($C58=$B$33,$B$33,INDEX(Data!$G$14:$G$30,MATCH('R5 - Output Incentives'!D$6+RIGHT('R5 - Output Incentives'!$C58,2),Data!$C$14:$C$30,0),0))</f>
        <v>0.19</v>
      </c>
      <c r="E58" s="891">
        <f>IF($C58=$B$33,$B$33,INDEX(Data!$G$14:$G$30,MATCH('R5 - Output Incentives'!E$6+RIGHT('R5 - Output Incentives'!$C58,2),Data!$C$14:$C$30,0),0))</f>
        <v>0.19</v>
      </c>
      <c r="F58" s="891">
        <f>IF($C58=$B$33,$B$33,INDEX(Data!$G$14:$G$30,MATCH('R5 - Output Incentives'!F$6+RIGHT('R5 - Output Incentives'!$C58,2),Data!$C$14:$C$30,0),0))</f>
        <v>0.19</v>
      </c>
      <c r="G58" s="891">
        <f>IF($C58=$B$33,$B$33,INDEX(Data!$G$14:$G$30,MATCH('R5 - Output Incentives'!G$6+RIGHT('R5 - Output Incentives'!$C58,2),Data!$C$14:$C$30,0),0))</f>
        <v>0.19</v>
      </c>
      <c r="H58" s="891">
        <f>IF($C58=$B$33,$B$33,INDEX(Data!$G$14:$G$30,MATCH('R5 - Output Incentives'!H$6+RIGHT('R5 - Output Incentives'!$C58,2),Data!$C$14:$C$30,0),0))</f>
        <v>0.19</v>
      </c>
      <c r="I58" s="891">
        <f>IF($C58=$B$33,$B$33,INDEX(Data!$G$14:$G$30,MATCH('R5 - Output Incentives'!I$6+RIGHT('R5 - Output Incentives'!$C58,2),Data!$C$14:$C$30,0),0))</f>
        <v>0.19</v>
      </c>
      <c r="J58" s="891">
        <f>IF($C58=$B$33,$B$33,INDEX(Data!$G$14:$G$30,MATCH('R5 - Output Incentives'!J$6+RIGHT('R5 - Output Incentives'!$C58,2),Data!$C$14:$C$30,0),0))</f>
        <v>0.25</v>
      </c>
      <c r="K58" s="892">
        <f>IF($C58=$B$33,$B$33,INDEX(Data!$G$14:$G$30,MATCH('R5 - Output Incentives'!K$6+RIGHT('R5 - Output Incentives'!$C58,2),Data!$C$14:$C$30,0),0))</f>
        <v>0.25</v>
      </c>
      <c r="L58" s="788"/>
      <c r="M58" s="789"/>
    </row>
    <row r="59" spans="1:13" s="2" customFormat="1">
      <c r="A59" s="160"/>
      <c r="B59" s="35" t="s">
        <v>209</v>
      </c>
      <c r="C59" s="155"/>
      <c r="D59" s="612">
        <f>IFERROR(D57*(1-D58),0)</f>
        <v>0</v>
      </c>
      <c r="E59" s="613">
        <f t="shared" ref="E59:K59" si="18">IFERROR(E57*(1-E58),0)</f>
        <v>0</v>
      </c>
      <c r="F59" s="613">
        <f t="shared" si="18"/>
        <v>0</v>
      </c>
      <c r="G59" s="613">
        <f t="shared" si="18"/>
        <v>0</v>
      </c>
      <c r="H59" s="613">
        <f t="shared" si="18"/>
        <v>0</v>
      </c>
      <c r="I59" s="613">
        <f t="shared" si="18"/>
        <v>0</v>
      </c>
      <c r="J59" s="613">
        <f t="shared" si="18"/>
        <v>0</v>
      </c>
      <c r="K59" s="613">
        <f t="shared" si="18"/>
        <v>0</v>
      </c>
      <c r="L59" s="671">
        <f>SUM(D59:INDEX(D59:K59,0,MATCH('RFPR cover'!$C$7,$D$6:$K$6,0)))</f>
        <v>0</v>
      </c>
      <c r="M59" s="672">
        <f>SUM(D59:K59)</f>
        <v>0</v>
      </c>
    </row>
    <row r="60" spans="1:13" s="2" customFormat="1">
      <c r="A60" s="160"/>
      <c r="B60" s="51"/>
      <c r="C60" s="156"/>
      <c r="D60" s="156"/>
      <c r="E60" s="156"/>
      <c r="F60" s="156"/>
      <c r="G60" s="156"/>
      <c r="H60" s="156"/>
      <c r="I60" s="156"/>
      <c r="J60" s="156"/>
      <c r="K60" s="156"/>
      <c r="L60" s="156"/>
      <c r="M60" s="156"/>
    </row>
    <row r="61" spans="1:13" s="2" customFormat="1">
      <c r="A61" s="160" t="str">
        <f>$A$14</f>
        <v>d</v>
      </c>
      <c r="B61" s="171" t="str">
        <f>INDEX($B$11:$B$15,MATCH($A61,$A$11:$A$15,0),0)&amp;""</f>
        <v>Time to Connect Incentive</v>
      </c>
      <c r="C61" s="155" t="str">
        <f>'RFPR cover'!$C$14</f>
        <v>£m 12/13</v>
      </c>
      <c r="D61" s="786">
        <f>INDEX($D$11:$K$17,MATCH($A61,$A$11:$A$17,0),0)</f>
        <v>0.96200459893724699</v>
      </c>
      <c r="E61" s="786">
        <f t="shared" ref="E61:K61" si="19">INDEX($D$11:$K$17,MATCH($A61,$A$11:$A$17,0),0)</f>
        <v>0.6</v>
      </c>
      <c r="F61" s="786">
        <f t="shared" si="19"/>
        <v>0.6</v>
      </c>
      <c r="G61" s="786">
        <f t="shared" si="19"/>
        <v>0.6</v>
      </c>
      <c r="H61" s="786">
        <f t="shared" si="19"/>
        <v>0.5978800878306878</v>
      </c>
      <c r="I61" s="786">
        <f t="shared" si="19"/>
        <v>0.55268228298691302</v>
      </c>
      <c r="J61" s="786">
        <f t="shared" si="19"/>
        <v>0.7</v>
      </c>
      <c r="K61" s="786">
        <f t="shared" si="19"/>
        <v>0.8</v>
      </c>
      <c r="L61" s="673">
        <f>SUM(D61:INDEX(D61:K61,0,MATCH('RFPR cover'!$C$7,$D$6:$K$6,0)))</f>
        <v>3.912566969754848</v>
      </c>
      <c r="M61" s="674">
        <f>SUM(D61:K61)</f>
        <v>5.412566969754848</v>
      </c>
    </row>
    <row r="62" spans="1:13" s="2" customFormat="1">
      <c r="A62" s="160"/>
      <c r="B62" s="35" t="s">
        <v>200</v>
      </c>
      <c r="C62" s="294" t="s">
        <v>201</v>
      </c>
      <c r="D62" s="890">
        <f>IF($C62=$B$33,$B$33,INDEX(Data!$G$14:$G$30,MATCH('R5 - Output Incentives'!D$6+RIGHT('R5 - Output Incentives'!$C62,2),Data!$C$14:$C$30,0),0))</f>
        <v>0.19</v>
      </c>
      <c r="E62" s="891">
        <f>IF($C62=$B$33,$B$33,INDEX(Data!$G$14:$G$30,MATCH('R5 - Output Incentives'!E$6+RIGHT('R5 - Output Incentives'!$C62,2),Data!$C$14:$C$30,0),0))</f>
        <v>0.19</v>
      </c>
      <c r="F62" s="891">
        <f>IF($C62=$B$33,$B$33,INDEX(Data!$G$14:$G$30,MATCH('R5 - Output Incentives'!F$6+RIGHT('R5 - Output Incentives'!$C62,2),Data!$C$14:$C$30,0),0))</f>
        <v>0.19</v>
      </c>
      <c r="G62" s="891">
        <f>IF($C62=$B$33,$B$33,INDEX(Data!$G$14:$G$30,MATCH('R5 - Output Incentives'!G$6+RIGHT('R5 - Output Incentives'!$C62,2),Data!$C$14:$C$30,0),0))</f>
        <v>0.19</v>
      </c>
      <c r="H62" s="891">
        <f>IF($C62=$B$33,$B$33,INDEX(Data!$G$14:$G$30,MATCH('R5 - Output Incentives'!H$6+RIGHT('R5 - Output Incentives'!$C62,2),Data!$C$14:$C$30,0),0))</f>
        <v>0.19</v>
      </c>
      <c r="I62" s="891">
        <f>IF($C62=$B$33,$B$33,INDEX(Data!$G$14:$G$30,MATCH('R5 - Output Incentives'!I$6+RIGHT('R5 - Output Incentives'!$C62,2),Data!$C$14:$C$30,0),0))</f>
        <v>0.19</v>
      </c>
      <c r="J62" s="891">
        <f>IF($C62=$B$33,$B$33,INDEX(Data!$G$14:$G$30,MATCH('R5 - Output Incentives'!J$6+RIGHT('R5 - Output Incentives'!$C62,2),Data!$C$14:$C$30,0),0))</f>
        <v>0.19</v>
      </c>
      <c r="K62" s="892">
        <f>IF($C62=$B$33,$B$33,INDEX(Data!$G$14:$G$30,MATCH('R5 - Output Incentives'!K$6+RIGHT('R5 - Output Incentives'!$C62,2),Data!$C$14:$C$30,0),0))</f>
        <v>0.25</v>
      </c>
      <c r="L62" s="788"/>
      <c r="M62" s="789"/>
    </row>
    <row r="63" spans="1:13" s="2" customFormat="1">
      <c r="A63" s="160"/>
      <c r="B63" s="35" t="s">
        <v>209</v>
      </c>
      <c r="C63" s="155"/>
      <c r="D63" s="612">
        <f>IFERROR(D61*(1-D62),0)</f>
        <v>0.77922372513917015</v>
      </c>
      <c r="E63" s="613">
        <f t="shared" ref="E63:K63" si="20">IFERROR(E61*(1-E62),0)</f>
        <v>0.48599999999999999</v>
      </c>
      <c r="F63" s="613">
        <f t="shared" si="20"/>
        <v>0.48599999999999999</v>
      </c>
      <c r="G63" s="613">
        <f t="shared" si="20"/>
        <v>0.48599999999999999</v>
      </c>
      <c r="H63" s="613">
        <f t="shared" si="20"/>
        <v>0.48428287114285717</v>
      </c>
      <c r="I63" s="613">
        <f t="shared" si="20"/>
        <v>0.44767264921939959</v>
      </c>
      <c r="J63" s="613">
        <f t="shared" si="20"/>
        <v>0.56699999999999995</v>
      </c>
      <c r="K63" s="613">
        <f t="shared" si="20"/>
        <v>0.60000000000000009</v>
      </c>
      <c r="L63" s="671">
        <f>SUM(D63:INDEX(D63:K63,0,MATCH('RFPR cover'!$C$7,$D$6:$K$6,0)))</f>
        <v>3.1691792455014269</v>
      </c>
      <c r="M63" s="672">
        <f>SUM(D63:K63)</f>
        <v>4.3361792455014267</v>
      </c>
    </row>
    <row r="64" spans="1:13" s="2" customFormat="1">
      <c r="A64" s="160"/>
      <c r="B64" s="51"/>
      <c r="C64" s="156"/>
      <c r="D64" s="156"/>
      <c r="E64" s="156"/>
      <c r="F64" s="156"/>
      <c r="G64" s="156"/>
      <c r="H64" s="156"/>
      <c r="I64" s="156"/>
      <c r="J64" s="156"/>
      <c r="K64" s="156"/>
      <c r="L64" s="156"/>
      <c r="M64" s="156"/>
    </row>
    <row r="65" spans="1:14" s="2" customFormat="1">
      <c r="A65" s="160" t="str">
        <f>$A$15</f>
        <v>e</v>
      </c>
      <c r="B65" s="171" t="str">
        <f>INDEX($B$11:$B$15,MATCH($A65,$A$11:$A$15,0),0)&amp;""</f>
        <v>Losses discretionary reward scheme</v>
      </c>
      <c r="C65" s="155" t="str">
        <f>'RFPR cover'!$C$14</f>
        <v>£m 12/13</v>
      </c>
      <c r="D65" s="786">
        <f>INDEX($D$11:$K$17,MATCH($A65,$A$11:$A$17,0),0)</f>
        <v>0</v>
      </c>
      <c r="E65" s="786">
        <f t="shared" ref="E65:K65" si="21">INDEX($D$11:$K$17,MATCH($A65,$A$11:$A$17,0),0)</f>
        <v>0.38500000000000001</v>
      </c>
      <c r="F65" s="786">
        <f t="shared" si="21"/>
        <v>0</v>
      </c>
      <c r="G65" s="786">
        <f t="shared" si="21"/>
        <v>0</v>
      </c>
      <c r="H65" s="786">
        <f t="shared" si="21"/>
        <v>0</v>
      </c>
      <c r="I65" s="786">
        <f t="shared" si="21"/>
        <v>0</v>
      </c>
      <c r="J65" s="786">
        <f t="shared" si="21"/>
        <v>0</v>
      </c>
      <c r="K65" s="786">
        <f t="shared" si="21"/>
        <v>0</v>
      </c>
      <c r="L65" s="673">
        <f>SUM(D65:INDEX(D65:K65,0,MATCH('RFPR cover'!$C$7,$D$6:$K$6,0)))</f>
        <v>0.38500000000000001</v>
      </c>
      <c r="M65" s="674">
        <f>SUM(D65:K65)</f>
        <v>0.38500000000000001</v>
      </c>
    </row>
    <row r="66" spans="1:14" s="2" customFormat="1">
      <c r="A66" s="160"/>
      <c r="B66" s="35" t="s">
        <v>200</v>
      </c>
      <c r="C66" s="294" t="s">
        <v>208</v>
      </c>
      <c r="D66" s="890">
        <f>IF($C66=$B$33,$B$33,INDEX(Data!$G$14:$G$30,MATCH('R5 - Output Incentives'!D$6+RIGHT('R5 - Output Incentives'!$C66,2),Data!$C$14:$C$30,0),0))</f>
        <v>0.2</v>
      </c>
      <c r="E66" s="891">
        <f>IF($C66=$B$33,$B$33,INDEX(Data!$G$14:$G$30,MATCH('R5 - Output Incentives'!E$6+RIGHT('R5 - Output Incentives'!$C66,2),Data!$C$14:$C$30,0),0))</f>
        <v>0.19</v>
      </c>
      <c r="F66" s="891">
        <f>IF($C66=$B$33,$B$33,INDEX(Data!$G$14:$G$30,MATCH('R5 - Output Incentives'!F$6+RIGHT('R5 - Output Incentives'!$C66,2),Data!$C$14:$C$30,0),0))</f>
        <v>0.19</v>
      </c>
      <c r="G66" s="891">
        <f>IF($C66=$B$33,$B$33,INDEX(Data!$G$14:$G$30,MATCH('R5 - Output Incentives'!G$6+RIGHT('R5 - Output Incentives'!$C66,2),Data!$C$14:$C$30,0),0))</f>
        <v>0.19</v>
      </c>
      <c r="H66" s="891">
        <f>IF($C66=$B$33,$B$33,INDEX(Data!$G$14:$G$30,MATCH('R5 - Output Incentives'!H$6+RIGHT('R5 - Output Incentives'!$C66,2),Data!$C$14:$C$30,0),0))</f>
        <v>0.19</v>
      </c>
      <c r="I66" s="891">
        <f>IF($C66=$B$33,$B$33,INDEX(Data!$G$14:$G$30,MATCH('R5 - Output Incentives'!I$6+RIGHT('R5 - Output Incentives'!$C66,2),Data!$C$14:$C$30,0),0))</f>
        <v>0.19</v>
      </c>
      <c r="J66" s="891">
        <f>IF($C66=$B$33,$B$33,INDEX(Data!$G$14:$G$30,MATCH('R5 - Output Incentives'!J$6+RIGHT('R5 - Output Incentives'!$C66,2),Data!$C$14:$C$30,0),0))</f>
        <v>0.19</v>
      </c>
      <c r="K66" s="892">
        <f>IF($C66=$B$33,$B$33,INDEX(Data!$G$14:$G$30,MATCH('R5 - Output Incentives'!K$6+RIGHT('R5 - Output Incentives'!$C66,2),Data!$C$14:$C$30,0),0))</f>
        <v>0.19</v>
      </c>
      <c r="L66" s="788"/>
      <c r="M66" s="789"/>
    </row>
    <row r="67" spans="1:14" s="2" customFormat="1">
      <c r="A67" s="160"/>
      <c r="B67" s="35" t="s">
        <v>209</v>
      </c>
      <c r="C67" s="155"/>
      <c r="D67" s="612">
        <f>IFERROR(D65*(1-D66),0)</f>
        <v>0</v>
      </c>
      <c r="E67" s="613">
        <f t="shared" ref="E67:K67" si="22">IFERROR(E65*(1-E66),0)</f>
        <v>0.31185000000000002</v>
      </c>
      <c r="F67" s="613">
        <f t="shared" si="22"/>
        <v>0</v>
      </c>
      <c r="G67" s="613">
        <f t="shared" si="22"/>
        <v>0</v>
      </c>
      <c r="H67" s="613">
        <f t="shared" si="22"/>
        <v>0</v>
      </c>
      <c r="I67" s="613">
        <f t="shared" si="22"/>
        <v>0</v>
      </c>
      <c r="J67" s="613">
        <f t="shared" si="22"/>
        <v>0</v>
      </c>
      <c r="K67" s="613">
        <f t="shared" si="22"/>
        <v>0</v>
      </c>
      <c r="L67" s="671">
        <f>SUM(D67:INDEX(D67:K67,0,MATCH('RFPR cover'!$C$7,$D$6:$K$6,0)))</f>
        <v>0.31185000000000002</v>
      </c>
      <c r="M67" s="672">
        <f>SUM(D67:K67)</f>
        <v>0.31185000000000002</v>
      </c>
    </row>
    <row r="68" spans="1:14" s="2" customFormat="1">
      <c r="A68" s="160"/>
      <c r="B68" s="51"/>
      <c r="C68" s="156"/>
      <c r="D68" s="156"/>
      <c r="E68" s="156"/>
      <c r="F68" s="156"/>
      <c r="G68" s="156"/>
      <c r="H68" s="156"/>
      <c r="I68" s="156"/>
      <c r="J68" s="156"/>
      <c r="K68" s="156"/>
      <c r="L68" s="156"/>
      <c r="M68" s="156"/>
    </row>
    <row r="69" spans="1:14" s="2" customFormat="1">
      <c r="A69" s="160" t="str">
        <f>$A$16</f>
        <v>f</v>
      </c>
      <c r="B69" s="171" t="str">
        <f>INDEX($B$11:$B$17,MATCH($A69,$A$11:$A$17,0),0)&amp;""</f>
        <v/>
      </c>
      <c r="C69" s="155" t="str">
        <f>'RFPR cover'!$C$14</f>
        <v>£m 12/13</v>
      </c>
      <c r="D69" s="786">
        <f>INDEX($D$11:$K$17,MATCH($A69,$A$11:$A$17,0),0)</f>
        <v>0</v>
      </c>
      <c r="E69" s="786">
        <f t="shared" ref="E69:K69" si="23">INDEX($D$11:$K$17,MATCH($A69,$A$11:$A$17,0),0)</f>
        <v>0</v>
      </c>
      <c r="F69" s="786">
        <f t="shared" si="23"/>
        <v>0</v>
      </c>
      <c r="G69" s="786">
        <f t="shared" si="23"/>
        <v>0</v>
      </c>
      <c r="H69" s="786">
        <f t="shared" si="23"/>
        <v>0</v>
      </c>
      <c r="I69" s="786">
        <f t="shared" si="23"/>
        <v>0</v>
      </c>
      <c r="J69" s="786">
        <f t="shared" si="23"/>
        <v>0</v>
      </c>
      <c r="K69" s="786">
        <f t="shared" si="23"/>
        <v>0</v>
      </c>
      <c r="L69" s="673">
        <f>SUM(D69:INDEX(D69:K69,0,MATCH('RFPR cover'!$C$7,$D$6:$K$6,0)))</f>
        <v>0</v>
      </c>
      <c r="M69" s="674">
        <f>SUM(D69:K69)</f>
        <v>0</v>
      </c>
    </row>
    <row r="70" spans="1:14" s="2" customFormat="1">
      <c r="A70" s="160"/>
      <c r="B70" s="35" t="s">
        <v>200</v>
      </c>
      <c r="C70" s="294" t="s">
        <v>208</v>
      </c>
      <c r="D70" s="890">
        <f>IF($C70=$B$33,$B$33,INDEX(Data!$G$14:$G$30,MATCH('R5 - Output Incentives'!D$6+RIGHT('R5 - Output Incentives'!$C70,2),Data!$C$14:$C$30,0),0))</f>
        <v>0.2</v>
      </c>
      <c r="E70" s="891">
        <f>IF($C70=$B$33,$B$33,INDEX(Data!$G$14:$G$30,MATCH('R5 - Output Incentives'!E$6+RIGHT('R5 - Output Incentives'!$C70,2),Data!$C$14:$C$30,0),0))</f>
        <v>0.19</v>
      </c>
      <c r="F70" s="891">
        <f>IF($C70=$B$33,$B$33,INDEX(Data!$G$14:$G$30,MATCH('R5 - Output Incentives'!F$6+RIGHT('R5 - Output Incentives'!$C70,2),Data!$C$14:$C$30,0),0))</f>
        <v>0.19</v>
      </c>
      <c r="G70" s="891">
        <f>IF($C70=$B$33,$B$33,INDEX(Data!$G$14:$G$30,MATCH('R5 - Output Incentives'!G$6+RIGHT('R5 - Output Incentives'!$C70,2),Data!$C$14:$C$30,0),0))</f>
        <v>0.19</v>
      </c>
      <c r="H70" s="891">
        <f>IF($C70=$B$33,$B$33,INDEX(Data!$G$14:$G$30,MATCH('R5 - Output Incentives'!H$6+RIGHT('R5 - Output Incentives'!$C70,2),Data!$C$14:$C$30,0),0))</f>
        <v>0.19</v>
      </c>
      <c r="I70" s="891">
        <f>IF($C70=$B$33,$B$33,INDEX(Data!$G$14:$G$30,MATCH('R5 - Output Incentives'!I$6+RIGHT('R5 - Output Incentives'!$C70,2),Data!$C$14:$C$30,0),0))</f>
        <v>0.19</v>
      </c>
      <c r="J70" s="891">
        <f>IF($C70=$B$33,$B$33,INDEX(Data!$G$14:$G$30,MATCH('R5 - Output Incentives'!J$6+RIGHT('R5 - Output Incentives'!$C70,2),Data!$C$14:$C$30,0),0))</f>
        <v>0.19</v>
      </c>
      <c r="K70" s="892">
        <f>IF($C70=$B$33,$B$33,INDEX(Data!$G$14:$G$30,MATCH('R5 - Output Incentives'!K$6+RIGHT('R5 - Output Incentives'!$C70,2),Data!$C$14:$C$30,0),0))</f>
        <v>0.19</v>
      </c>
      <c r="L70" s="788"/>
      <c r="M70" s="789"/>
    </row>
    <row r="71" spans="1:14" s="2" customFormat="1">
      <c r="A71" s="160"/>
      <c r="B71" s="35" t="s">
        <v>209</v>
      </c>
      <c r="C71" s="155"/>
      <c r="D71" s="612">
        <f>IFERROR(D69*(1-D70),0)</f>
        <v>0</v>
      </c>
      <c r="E71" s="613">
        <f t="shared" ref="E71:K71" si="24">IFERROR(E69*(1-E70),0)</f>
        <v>0</v>
      </c>
      <c r="F71" s="613">
        <f t="shared" si="24"/>
        <v>0</v>
      </c>
      <c r="G71" s="613">
        <f t="shared" si="24"/>
        <v>0</v>
      </c>
      <c r="H71" s="613">
        <f t="shared" si="24"/>
        <v>0</v>
      </c>
      <c r="I71" s="613">
        <f t="shared" si="24"/>
        <v>0</v>
      </c>
      <c r="J71" s="613">
        <f t="shared" si="24"/>
        <v>0</v>
      </c>
      <c r="K71" s="613">
        <f t="shared" si="24"/>
        <v>0</v>
      </c>
      <c r="L71" s="671">
        <f>SUM(D71:INDEX(D71:K71,0,MATCH('RFPR cover'!$C$7,$D$6:$K$6,0)))</f>
        <v>0</v>
      </c>
      <c r="M71" s="672">
        <f>SUM(D71:K71)</f>
        <v>0</v>
      </c>
    </row>
    <row r="72" spans="1:14" s="2" customFormat="1">
      <c r="A72" s="160"/>
      <c r="B72" s="51"/>
      <c r="C72" s="156"/>
      <c r="D72" s="156"/>
      <c r="E72" s="156"/>
      <c r="F72" s="156"/>
      <c r="G72" s="156"/>
      <c r="H72" s="156"/>
      <c r="I72" s="156"/>
      <c r="J72" s="156"/>
      <c r="K72" s="156"/>
      <c r="L72" s="156"/>
      <c r="M72" s="156"/>
    </row>
    <row r="73" spans="1:14" s="2" customFormat="1">
      <c r="A73" s="160" t="s">
        <v>464</v>
      </c>
      <c r="B73" s="171" t="str">
        <f>INDEX($B$11:$B$17,MATCH($A73,$A$11:$A$17,0),0)&amp;""</f>
        <v/>
      </c>
      <c r="C73" s="155" t="str">
        <f>'RFPR cover'!$C$14</f>
        <v>£m 12/13</v>
      </c>
      <c r="D73" s="786">
        <f>INDEX($D$11:$K$17,MATCH($A73,$A$11:$A$17,0),0)</f>
        <v>0</v>
      </c>
      <c r="E73" s="786">
        <f t="shared" ref="E73:K73" si="25">INDEX($D$11:$K$17,MATCH($A73,$A$11:$A$17,0),0)</f>
        <v>0</v>
      </c>
      <c r="F73" s="786">
        <f t="shared" si="25"/>
        <v>0</v>
      </c>
      <c r="G73" s="786">
        <f t="shared" si="25"/>
        <v>0</v>
      </c>
      <c r="H73" s="786">
        <f t="shared" si="25"/>
        <v>0</v>
      </c>
      <c r="I73" s="786">
        <f t="shared" si="25"/>
        <v>0</v>
      </c>
      <c r="J73" s="786">
        <f t="shared" si="25"/>
        <v>0</v>
      </c>
      <c r="K73" s="786">
        <f t="shared" si="25"/>
        <v>0</v>
      </c>
      <c r="L73" s="673">
        <f>SUM(D73:INDEX(D73:K73,0,MATCH('RFPR cover'!$C$7,$D$6:$K$6,0)))</f>
        <v>0</v>
      </c>
      <c r="M73" s="674">
        <f>SUM(D73:K73)</f>
        <v>0</v>
      </c>
    </row>
    <row r="74" spans="1:14" s="2" customFormat="1">
      <c r="A74" s="160"/>
      <c r="B74" s="35" t="s">
        <v>200</v>
      </c>
      <c r="C74" s="294" t="s">
        <v>208</v>
      </c>
      <c r="D74" s="890">
        <f>IF($C74=$B$33,$B$33,INDEX(Data!$G$14:$G$30,MATCH('R5 - Output Incentives'!D$6+RIGHT('R5 - Output Incentives'!$C74,2),Data!$C$14:$C$30,0),0))</f>
        <v>0.2</v>
      </c>
      <c r="E74" s="891">
        <f>IF($C74=$B$33,$B$33,INDEX(Data!$G$14:$G$30,MATCH('R5 - Output Incentives'!E$6+RIGHT('R5 - Output Incentives'!$C74,2),Data!$C$14:$C$30,0),0))</f>
        <v>0.19</v>
      </c>
      <c r="F74" s="891">
        <f>IF($C74=$B$33,$B$33,INDEX(Data!$G$14:$G$30,MATCH('R5 - Output Incentives'!F$6+RIGHT('R5 - Output Incentives'!$C74,2),Data!$C$14:$C$30,0),0))</f>
        <v>0.19</v>
      </c>
      <c r="G74" s="891">
        <f>IF($C74=$B$33,$B$33,INDEX(Data!$G$14:$G$30,MATCH('R5 - Output Incentives'!G$6+RIGHT('R5 - Output Incentives'!$C74,2),Data!$C$14:$C$30,0),0))</f>
        <v>0.19</v>
      </c>
      <c r="H74" s="891">
        <f>IF($C74=$B$33,$B$33,INDEX(Data!$G$14:$G$30,MATCH('R5 - Output Incentives'!H$6+RIGHT('R5 - Output Incentives'!$C74,2),Data!$C$14:$C$30,0),0))</f>
        <v>0.19</v>
      </c>
      <c r="I74" s="891">
        <f>IF($C74=$B$33,$B$33,INDEX(Data!$G$14:$G$30,MATCH('R5 - Output Incentives'!I$6+RIGHT('R5 - Output Incentives'!$C74,2),Data!$C$14:$C$30,0),0))</f>
        <v>0.19</v>
      </c>
      <c r="J74" s="891">
        <f>IF($C74=$B$33,$B$33,INDEX(Data!$G$14:$G$30,MATCH('R5 - Output Incentives'!J$6+RIGHT('R5 - Output Incentives'!$C74,2),Data!$C$14:$C$30,0),0))</f>
        <v>0.19</v>
      </c>
      <c r="K74" s="892">
        <f>IF($C74=$B$33,$B$33,INDEX(Data!$G$14:$G$30,MATCH('R5 - Output Incentives'!K$6+RIGHT('R5 - Output Incentives'!$C74,2),Data!$C$14:$C$30,0),0))</f>
        <v>0.19</v>
      </c>
      <c r="L74" s="788"/>
      <c r="M74" s="789"/>
    </row>
    <row r="75" spans="1:14" s="2" customFormat="1">
      <c r="A75" s="160"/>
      <c r="B75" s="35" t="s">
        <v>209</v>
      </c>
      <c r="C75" s="155"/>
      <c r="D75" s="612">
        <f>IFERROR(D73*(1-D74),0)</f>
        <v>0</v>
      </c>
      <c r="E75" s="613">
        <f t="shared" ref="E75:K75" si="26">IFERROR(E73*(1-E74),0)</f>
        <v>0</v>
      </c>
      <c r="F75" s="613">
        <f t="shared" si="26"/>
        <v>0</v>
      </c>
      <c r="G75" s="613">
        <f t="shared" si="26"/>
        <v>0</v>
      </c>
      <c r="H75" s="613">
        <f t="shared" si="26"/>
        <v>0</v>
      </c>
      <c r="I75" s="613">
        <f t="shared" si="26"/>
        <v>0</v>
      </c>
      <c r="J75" s="613">
        <f t="shared" si="26"/>
        <v>0</v>
      </c>
      <c r="K75" s="613">
        <f t="shared" si="26"/>
        <v>0</v>
      </c>
      <c r="L75" s="671">
        <f>SUM(D75:INDEX(D75:K75,0,MATCH('RFPR cover'!$C$7,$D$6:$K$6,0)))</f>
        <v>0</v>
      </c>
      <c r="M75" s="672">
        <f>SUM(D75:K75)</f>
        <v>0</v>
      </c>
    </row>
    <row r="76" spans="1:14" s="535" customFormat="1" ht="14.25" customHeight="1">
      <c r="A76" s="534"/>
      <c r="C76" s="536"/>
      <c r="D76" s="537"/>
      <c r="E76" s="537"/>
      <c r="F76" s="537"/>
      <c r="G76" s="537"/>
      <c r="H76" s="537"/>
      <c r="I76" s="537"/>
      <c r="J76" s="537"/>
      <c r="K76" s="537"/>
      <c r="L76" s="538"/>
      <c r="M76" s="538"/>
    </row>
    <row r="77" spans="1:14" s="2" customFormat="1">
      <c r="B77" s="116" t="s">
        <v>381</v>
      </c>
      <c r="C77" s="150"/>
      <c r="D77" s="133"/>
      <c r="E77" s="133"/>
      <c r="F77" s="133"/>
      <c r="G77" s="133"/>
      <c r="H77" s="133"/>
      <c r="I77" s="133"/>
      <c r="J77" s="133"/>
      <c r="K77" s="133"/>
      <c r="L77" s="81"/>
      <c r="M77" s="81"/>
      <c r="N77" s="81"/>
    </row>
    <row r="78" spans="1:14" s="2" customFormat="1">
      <c r="B78" s="368" t="s">
        <v>380</v>
      </c>
      <c r="C78" s="291"/>
      <c r="D78" s="292"/>
      <c r="E78" s="292"/>
      <c r="F78" s="292"/>
      <c r="G78" s="292"/>
      <c r="H78" s="292"/>
      <c r="I78" s="292"/>
      <c r="J78" s="292"/>
      <c r="K78" s="292"/>
      <c r="L78" s="293"/>
      <c r="M78" s="293"/>
      <c r="N78" s="293"/>
    </row>
    <row r="79" spans="1:14" s="2" customFormat="1">
      <c r="B79" s="368" t="s">
        <v>382</v>
      </c>
      <c r="C79" s="291"/>
      <c r="D79" s="292"/>
      <c r="E79" s="292"/>
      <c r="F79" s="292"/>
      <c r="G79" s="292"/>
      <c r="H79" s="292"/>
      <c r="I79" s="292"/>
      <c r="J79" s="292"/>
      <c r="K79" s="292"/>
      <c r="L79" s="293"/>
      <c r="M79" s="293"/>
      <c r="N79" s="293"/>
    </row>
    <row r="80" spans="1:14" s="535" customFormat="1">
      <c r="B80" s="540"/>
      <c r="C80" s="541"/>
      <c r="D80" s="542"/>
      <c r="E80" s="542"/>
      <c r="F80" s="542"/>
      <c r="G80" s="542"/>
      <c r="H80" s="542"/>
      <c r="I80" s="542"/>
      <c r="J80" s="542"/>
      <c r="K80" s="542"/>
    </row>
    <row r="81" spans="1:12" s="2" customFormat="1">
      <c r="B81" s="12"/>
      <c r="C81" s="543" t="s">
        <v>383</v>
      </c>
      <c r="D81" s="546" t="str">
        <f t="shared" ref="D81:K81" si="27">IF($C50=$B$33,D$6,IF(D$6-RIGHT($C50,1)&lt;$D$6,"Pre-RIIO",D$6-RIGHT($C50,1)))</f>
        <v>Pre-RIIO</v>
      </c>
      <c r="E81" s="547" t="str">
        <f t="shared" si="27"/>
        <v>Pre-RIIO</v>
      </c>
      <c r="F81" s="547">
        <f t="shared" si="27"/>
        <v>2016</v>
      </c>
      <c r="G81" s="547">
        <f t="shared" si="27"/>
        <v>2017</v>
      </c>
      <c r="H81" s="547">
        <f t="shared" si="27"/>
        <v>2018</v>
      </c>
      <c r="I81" s="547">
        <f t="shared" si="27"/>
        <v>2019</v>
      </c>
      <c r="J81" s="547">
        <f t="shared" si="27"/>
        <v>2020</v>
      </c>
      <c r="K81" s="548">
        <f t="shared" si="27"/>
        <v>2021</v>
      </c>
    </row>
    <row r="82" spans="1:12" s="2" customFormat="1">
      <c r="A82" s="3" t="str">
        <f>A11</f>
        <v>a</v>
      </c>
      <c r="B82" s="129" t="str">
        <f>B11&amp;""</f>
        <v>Broad measure of customer service</v>
      </c>
      <c r="C82" s="136" t="s">
        <v>128</v>
      </c>
      <c r="D82" s="640">
        <v>-2.6260649999999993E-2</v>
      </c>
      <c r="E82" s="641">
        <v>-0.18584459999999994</v>
      </c>
      <c r="F82" s="641">
        <v>2.7244838806580161</v>
      </c>
      <c r="G82" s="641">
        <v>2.7339636464698072</v>
      </c>
      <c r="H82" s="619">
        <v>3.1817981691631796</v>
      </c>
      <c r="I82" s="619">
        <v>4.2674054642210599</v>
      </c>
      <c r="J82" s="619">
        <v>4.7657329273526114</v>
      </c>
      <c r="K82" s="619">
        <v>3.7270571165832225</v>
      </c>
    </row>
    <row r="83" spans="1:12" s="2" customFormat="1">
      <c r="A83" s="3"/>
      <c r="B83" s="129"/>
      <c r="C83" s="136"/>
      <c r="D83" s="136"/>
      <c r="E83" s="136"/>
      <c r="F83" s="136"/>
      <c r="G83" s="136"/>
      <c r="H83" s="136"/>
      <c r="I83" s="136"/>
      <c r="J83" s="136"/>
      <c r="K83" s="136"/>
      <c r="L83" s="136"/>
    </row>
    <row r="84" spans="1:12" s="2" customFormat="1">
      <c r="A84" s="3"/>
      <c r="B84" s="129"/>
      <c r="C84" s="543" t="s">
        <v>383</v>
      </c>
      <c r="D84" s="546" t="str">
        <f t="shared" ref="D84:K84" si="28">IF($C54=$B$33,D$6,IF(D$6-RIGHT($C54,1)&lt;$D$6,"Pre-RIIO",D$6-RIGHT($C54,1)))</f>
        <v>Pre-RIIO</v>
      </c>
      <c r="E84" s="547" t="str">
        <f t="shared" si="28"/>
        <v>Pre-RIIO</v>
      </c>
      <c r="F84" s="547">
        <f t="shared" si="28"/>
        <v>2016</v>
      </c>
      <c r="G84" s="547">
        <f t="shared" si="28"/>
        <v>2017</v>
      </c>
      <c r="H84" s="547">
        <f t="shared" si="28"/>
        <v>2018</v>
      </c>
      <c r="I84" s="547">
        <f t="shared" si="28"/>
        <v>2019</v>
      </c>
      <c r="J84" s="547">
        <f t="shared" si="28"/>
        <v>2020</v>
      </c>
      <c r="K84" s="548">
        <f t="shared" si="28"/>
        <v>2021</v>
      </c>
    </row>
    <row r="85" spans="1:12" s="2" customFormat="1">
      <c r="A85" s="3" t="str">
        <f>A12</f>
        <v>b</v>
      </c>
      <c r="B85" s="129" t="str">
        <f>B12&amp;""</f>
        <v>Interruptions-related quality of service</v>
      </c>
      <c r="C85" s="136" t="s">
        <v>128</v>
      </c>
      <c r="D85" s="640">
        <v>7.1752175999999981</v>
      </c>
      <c r="E85" s="641">
        <v>11.380961699999999</v>
      </c>
      <c r="F85" s="641">
        <v>7.8073218297217633</v>
      </c>
      <c r="G85" s="641">
        <v>12.535446293231447</v>
      </c>
      <c r="H85" s="619">
        <v>11.333051575435039</v>
      </c>
      <c r="I85" s="619">
        <v>5.8906158728647791</v>
      </c>
      <c r="J85" s="619">
        <v>7.1245186644959659</v>
      </c>
      <c r="K85" s="619">
        <v>10.179302805555764</v>
      </c>
    </row>
    <row r="86" spans="1:12" s="2" customFormat="1">
      <c r="A86" s="3"/>
      <c r="B86" s="129"/>
      <c r="C86" s="136"/>
      <c r="D86" s="136"/>
      <c r="E86" s="136"/>
      <c r="F86" s="136"/>
      <c r="G86" s="136"/>
      <c r="H86" s="136"/>
      <c r="I86" s="136"/>
      <c r="J86" s="136"/>
      <c r="K86" s="136"/>
      <c r="L86" s="136"/>
    </row>
    <row r="87" spans="1:12" s="2" customFormat="1">
      <c r="A87" s="3"/>
      <c r="B87" s="129"/>
      <c r="C87" s="543" t="s">
        <v>383</v>
      </c>
      <c r="D87" s="546" t="str">
        <f t="shared" ref="D87:K87" si="29">IF($C58=$B$33,D$6,IF(D$6-RIGHT($C58,1)&lt;$D$6,"Pre-RIIO",D$6-RIGHT($C58,1)))</f>
        <v>Pre-RIIO</v>
      </c>
      <c r="E87" s="547" t="str">
        <f t="shared" si="29"/>
        <v>Pre-RIIO</v>
      </c>
      <c r="F87" s="547" t="str">
        <f t="shared" si="29"/>
        <v>Pre-RIIO</v>
      </c>
      <c r="G87" s="547">
        <f t="shared" si="29"/>
        <v>2016</v>
      </c>
      <c r="H87" s="547">
        <f t="shared" si="29"/>
        <v>2017</v>
      </c>
      <c r="I87" s="547">
        <f t="shared" si="29"/>
        <v>2018</v>
      </c>
      <c r="J87" s="547">
        <f t="shared" si="29"/>
        <v>2019</v>
      </c>
      <c r="K87" s="548">
        <f t="shared" si="29"/>
        <v>2020</v>
      </c>
    </row>
    <row r="88" spans="1:12" s="2" customFormat="1">
      <c r="A88" s="3" t="str">
        <f>A13</f>
        <v>c</v>
      </c>
      <c r="B88" s="129" t="str">
        <f>B13&amp;""</f>
        <v>Incentive on connections engagement</v>
      </c>
      <c r="C88" s="136" t="s">
        <v>128</v>
      </c>
      <c r="D88" s="640">
        <v>0</v>
      </c>
      <c r="E88" s="641">
        <v>0</v>
      </c>
      <c r="F88" s="641">
        <v>0</v>
      </c>
      <c r="G88" s="641">
        <v>0</v>
      </c>
      <c r="H88" s="619">
        <v>0</v>
      </c>
      <c r="I88" s="619">
        <v>0</v>
      </c>
      <c r="J88" s="619">
        <v>0</v>
      </c>
      <c r="K88" s="619">
        <v>0</v>
      </c>
    </row>
    <row r="89" spans="1:12" s="2" customFormat="1">
      <c r="A89" s="3"/>
      <c r="B89" s="129"/>
      <c r="C89" s="136"/>
      <c r="D89" s="136"/>
      <c r="E89" s="136"/>
      <c r="F89" s="136"/>
      <c r="G89" s="136"/>
      <c r="H89" s="136"/>
      <c r="I89" s="136"/>
      <c r="J89" s="136"/>
      <c r="K89" s="136"/>
      <c r="L89" s="136"/>
    </row>
    <row r="90" spans="1:12" s="2" customFormat="1">
      <c r="A90" s="3"/>
      <c r="B90" s="129"/>
      <c r="C90" s="543" t="s">
        <v>383</v>
      </c>
      <c r="D90" s="546" t="str">
        <f t="shared" ref="D90:K90" si="30">IF($C62=$B$33,D$6,IF(D$6-RIGHT($C62,1)&lt;$D$6,"Pre-RIIO",D$6-RIGHT($C62,1)))</f>
        <v>Pre-RIIO</v>
      </c>
      <c r="E90" s="547" t="str">
        <f t="shared" si="30"/>
        <v>Pre-RIIO</v>
      </c>
      <c r="F90" s="547">
        <f t="shared" si="30"/>
        <v>2016</v>
      </c>
      <c r="G90" s="547">
        <f t="shared" si="30"/>
        <v>2017</v>
      </c>
      <c r="H90" s="547">
        <f t="shared" si="30"/>
        <v>2018</v>
      </c>
      <c r="I90" s="547">
        <f t="shared" si="30"/>
        <v>2019</v>
      </c>
      <c r="J90" s="547">
        <f t="shared" si="30"/>
        <v>2020</v>
      </c>
      <c r="K90" s="548">
        <f t="shared" si="30"/>
        <v>2021</v>
      </c>
    </row>
    <row r="91" spans="1:12" s="2" customFormat="1">
      <c r="A91" s="3" t="str">
        <f>A14</f>
        <v>d</v>
      </c>
      <c r="B91" s="129" t="str">
        <f>B14&amp;""</f>
        <v>Time to Connect Incentive</v>
      </c>
      <c r="C91" s="136" t="s">
        <v>128</v>
      </c>
      <c r="D91" s="640">
        <v>0</v>
      </c>
      <c r="E91" s="641">
        <v>0</v>
      </c>
      <c r="F91" s="641">
        <v>1.0200295866602096</v>
      </c>
      <c r="G91" s="641">
        <v>0.64982200878716667</v>
      </c>
      <c r="H91" s="619">
        <v>0.67413834678655349</v>
      </c>
      <c r="I91" s="619">
        <v>0.69473710023500557</v>
      </c>
      <c r="J91" s="619">
        <v>0.71020359451225812</v>
      </c>
      <c r="K91" s="619">
        <v>0.66447691484381821</v>
      </c>
    </row>
    <row r="92" spans="1:12" s="2" customFormat="1">
      <c r="A92" s="3"/>
      <c r="B92" s="129"/>
      <c r="C92" s="136"/>
      <c r="D92" s="136"/>
      <c r="E92" s="136"/>
      <c r="F92" s="136"/>
      <c r="G92" s="136"/>
      <c r="H92" s="136"/>
      <c r="I92" s="136"/>
      <c r="J92" s="136"/>
      <c r="K92" s="136"/>
      <c r="L92" s="136"/>
    </row>
    <row r="93" spans="1:12" s="2" customFormat="1">
      <c r="A93" s="3"/>
      <c r="B93" s="129"/>
      <c r="C93" s="543" t="s">
        <v>383</v>
      </c>
      <c r="D93" s="546" t="str">
        <f>IF($C66=$B$33,D$6,IF(D$6-RIGHT($C66,1)&lt;$D$6,"Pre-RIIO",D$6-RIGHT($C66,1)))</f>
        <v>Pre-RIIO</v>
      </c>
      <c r="E93" s="547">
        <f t="shared" ref="E93:K93" si="31">IF($C66=$B$33,E$6,IF(E$6-RIGHT($C66,1)&lt;$D$6,"Pre-RIIO",E$6-RIGHT($C66,1)))</f>
        <v>2016</v>
      </c>
      <c r="F93" s="547">
        <f t="shared" si="31"/>
        <v>2017</v>
      </c>
      <c r="G93" s="547">
        <f t="shared" si="31"/>
        <v>2018</v>
      </c>
      <c r="H93" s="547">
        <f t="shared" si="31"/>
        <v>2019</v>
      </c>
      <c r="I93" s="547">
        <f t="shared" si="31"/>
        <v>2020</v>
      </c>
      <c r="J93" s="547">
        <f t="shared" si="31"/>
        <v>2021</v>
      </c>
      <c r="K93" s="548">
        <f t="shared" si="31"/>
        <v>2022</v>
      </c>
    </row>
    <row r="94" spans="1:12" s="2" customFormat="1">
      <c r="A94" s="3" t="str">
        <f>A15</f>
        <v>e</v>
      </c>
      <c r="B94" s="129" t="str">
        <f>B15&amp;""</f>
        <v>Losses discretionary reward scheme</v>
      </c>
      <c r="C94" s="136" t="s">
        <v>128</v>
      </c>
      <c r="D94" s="640">
        <v>0</v>
      </c>
      <c r="E94" s="641">
        <v>0</v>
      </c>
      <c r="F94" s="641">
        <v>0.431585</v>
      </c>
      <c r="G94" s="641">
        <v>0</v>
      </c>
      <c r="H94" s="619">
        <v>0</v>
      </c>
      <c r="I94" s="619">
        <v>0</v>
      </c>
      <c r="J94" s="619">
        <v>0</v>
      </c>
      <c r="K94" s="619">
        <v>0</v>
      </c>
    </row>
    <row r="95" spans="1:12" s="2" customFormat="1">
      <c r="A95" s="3"/>
      <c r="B95" s="129"/>
      <c r="C95" s="136"/>
      <c r="D95" s="136"/>
      <c r="E95" s="136"/>
      <c r="F95" s="136"/>
      <c r="G95" s="136"/>
      <c r="H95" s="136"/>
      <c r="I95" s="136"/>
      <c r="J95" s="136"/>
      <c r="K95" s="136"/>
      <c r="L95" s="136"/>
    </row>
    <row r="96" spans="1:12" s="2" customFormat="1">
      <c r="A96" s="3"/>
      <c r="B96" s="129"/>
      <c r="C96" s="543" t="s">
        <v>383</v>
      </c>
      <c r="D96" s="546" t="str">
        <f>IF($C70=$B$33,D$6,IF(D$6-RIGHT($C70,1)&lt;$D$6,"Pre-RIIO",D$6-RIGHT($C70,1)))</f>
        <v>Pre-RIIO</v>
      </c>
      <c r="E96" s="546">
        <f t="shared" ref="E96:K96" si="32">IF($C70=$B$33,E$6,IF(E$6-RIGHT($C70,1)&lt;$D$6,"Pre-RIIO",E$6-RIGHT($C70,1)))</f>
        <v>2016</v>
      </c>
      <c r="F96" s="546">
        <f t="shared" si="32"/>
        <v>2017</v>
      </c>
      <c r="G96" s="546">
        <f t="shared" si="32"/>
        <v>2018</v>
      </c>
      <c r="H96" s="546">
        <f t="shared" si="32"/>
        <v>2019</v>
      </c>
      <c r="I96" s="546">
        <f t="shared" si="32"/>
        <v>2020</v>
      </c>
      <c r="J96" s="546">
        <f t="shared" si="32"/>
        <v>2021</v>
      </c>
      <c r="K96" s="546">
        <f t="shared" si="32"/>
        <v>2022</v>
      </c>
    </row>
    <row r="97" spans="1:13" s="2" customFormat="1">
      <c r="A97" s="3" t="str">
        <f>A16</f>
        <v>f</v>
      </c>
      <c r="B97" s="129" t="str">
        <f>B16&amp;""</f>
        <v/>
      </c>
      <c r="C97" s="136" t="s">
        <v>128</v>
      </c>
      <c r="D97" s="640">
        <v>0</v>
      </c>
      <c r="E97" s="641">
        <v>0</v>
      </c>
      <c r="F97" s="641">
        <v>0</v>
      </c>
      <c r="G97" s="641">
        <v>0</v>
      </c>
      <c r="H97" s="619">
        <v>0</v>
      </c>
      <c r="I97" s="619">
        <v>0</v>
      </c>
      <c r="J97" s="619">
        <v>0</v>
      </c>
      <c r="K97" s="619">
        <v>0</v>
      </c>
    </row>
    <row r="98" spans="1:13" s="2" customFormat="1">
      <c r="A98" s="3"/>
      <c r="B98" s="129"/>
      <c r="C98" s="136"/>
      <c r="D98" s="136"/>
      <c r="E98" s="136"/>
      <c r="F98" s="136"/>
      <c r="G98" s="136"/>
      <c r="H98" s="136"/>
      <c r="I98" s="136"/>
      <c r="J98" s="136"/>
      <c r="K98" s="136"/>
      <c r="L98" s="136"/>
    </row>
    <row r="99" spans="1:13" s="2" customFormat="1">
      <c r="A99" s="3"/>
      <c r="B99" s="129"/>
      <c r="C99" s="543" t="s">
        <v>383</v>
      </c>
      <c r="D99" s="546" t="str">
        <f>IF($C74=$B$33,D$6,IF(D$6-RIGHT($C74,1)&lt;$D$6,"Pre-RIIO",D$6-RIGHT($C74,1)))</f>
        <v>Pre-RIIO</v>
      </c>
      <c r="E99" s="546">
        <f t="shared" ref="E99:K99" si="33">IF($C74=$B$33,E$6,IF(E$6-RIGHT($C74,1)&lt;$D$6,"Pre-RIIO",E$6-RIGHT($C74,1)))</f>
        <v>2016</v>
      </c>
      <c r="F99" s="546">
        <f t="shared" si="33"/>
        <v>2017</v>
      </c>
      <c r="G99" s="546">
        <f t="shared" si="33"/>
        <v>2018</v>
      </c>
      <c r="H99" s="546">
        <f t="shared" si="33"/>
        <v>2019</v>
      </c>
      <c r="I99" s="546">
        <f t="shared" si="33"/>
        <v>2020</v>
      </c>
      <c r="J99" s="546">
        <f t="shared" si="33"/>
        <v>2021</v>
      </c>
      <c r="K99" s="546">
        <f t="shared" si="33"/>
        <v>2022</v>
      </c>
    </row>
    <row r="100" spans="1:13" s="2" customFormat="1">
      <c r="A100" s="3" t="str">
        <f>A17</f>
        <v>g</v>
      </c>
      <c r="B100" s="129" t="str">
        <f>B17&amp;""</f>
        <v/>
      </c>
      <c r="C100" s="136" t="s">
        <v>128</v>
      </c>
      <c r="D100" s="640">
        <v>0</v>
      </c>
      <c r="E100" s="641">
        <v>0</v>
      </c>
      <c r="F100" s="641">
        <v>0</v>
      </c>
      <c r="G100" s="641">
        <v>0</v>
      </c>
      <c r="H100" s="619">
        <v>0</v>
      </c>
      <c r="I100" s="619">
        <v>0</v>
      </c>
      <c r="J100" s="619">
        <v>0</v>
      </c>
      <c r="K100" s="619">
        <v>0</v>
      </c>
    </row>
    <row r="101" spans="1:13" s="2" customFormat="1">
      <c r="A101" s="3"/>
      <c r="B101" s="129"/>
      <c r="C101" s="136"/>
      <c r="D101" s="136"/>
      <c r="E101" s="136"/>
      <c r="F101" s="136"/>
      <c r="G101" s="136"/>
      <c r="H101" s="136"/>
      <c r="I101" s="136"/>
      <c r="J101" s="136"/>
      <c r="K101" s="136"/>
      <c r="L101" s="136"/>
      <c r="M101" s="136"/>
    </row>
    <row r="102" spans="1:13" s="2" customFormat="1">
      <c r="B102" s="12" t="s">
        <v>157</v>
      </c>
      <c r="C102" s="157" t="s">
        <v>128</v>
      </c>
      <c r="D102" s="612">
        <f>SUM(D82,D85,D88,D91,D94,D97,D100)</f>
        <v>7.1489569499999979</v>
      </c>
      <c r="E102" s="612">
        <f t="shared" ref="E102:K102" si="34">SUM(E82,E85,E88,E91,E94,E97,E100)</f>
        <v>11.195117099999999</v>
      </c>
      <c r="F102" s="612">
        <f t="shared" si="34"/>
        <v>11.983420297039988</v>
      </c>
      <c r="G102" s="612">
        <f t="shared" si="34"/>
        <v>15.91923194848842</v>
      </c>
      <c r="H102" s="613">
        <f>SUM(H82,H85,H88,H91,H94,H97,H100)</f>
        <v>15.188988091384774</v>
      </c>
      <c r="I102" s="613">
        <f t="shared" si="34"/>
        <v>10.852758437320844</v>
      </c>
      <c r="J102" s="613">
        <f t="shared" si="34"/>
        <v>12.600455186360836</v>
      </c>
      <c r="K102" s="613">
        <f t="shared" si="34"/>
        <v>14.570836836982805</v>
      </c>
    </row>
    <row r="103" spans="1:13" s="2" customFormat="1">
      <c r="C103" s="136"/>
    </row>
    <row r="104" spans="1:13" s="2" customFormat="1">
      <c r="A104" s="35"/>
      <c r="B104" s="12" t="s">
        <v>358</v>
      </c>
      <c r="C104" s="156"/>
      <c r="D104" s="156"/>
      <c r="E104" s="156"/>
      <c r="F104" s="156"/>
      <c r="G104" s="156"/>
      <c r="H104" s="156"/>
      <c r="I104" s="156"/>
      <c r="J104" s="156"/>
      <c r="K104" s="156"/>
      <c r="L104" s="156"/>
      <c r="M104" s="156"/>
    </row>
    <row r="105" spans="1:13" s="2" customFormat="1">
      <c r="A105" s="269" t="str">
        <f>A82</f>
        <v>a</v>
      </c>
      <c r="B105" s="1000" t="s">
        <v>240</v>
      </c>
      <c r="C105" s="1000"/>
      <c r="D105" s="1000"/>
      <c r="E105" s="1000"/>
      <c r="F105" s="1000"/>
      <c r="G105" s="1000"/>
      <c r="H105" s="1000"/>
      <c r="I105" s="1000"/>
      <c r="J105" s="1000"/>
      <c r="K105" s="1000"/>
      <c r="L105" s="1000"/>
      <c r="M105" s="1000"/>
    </row>
    <row r="106" spans="1:13" s="2" customFormat="1">
      <c r="A106" s="269" t="str">
        <f>A85</f>
        <v>b</v>
      </c>
      <c r="B106" s="1000" t="s">
        <v>240</v>
      </c>
      <c r="C106" s="1000"/>
      <c r="D106" s="1000"/>
      <c r="E106" s="1000"/>
      <c r="F106" s="1000"/>
      <c r="G106" s="1000"/>
      <c r="H106" s="1000"/>
      <c r="I106" s="1000"/>
      <c r="J106" s="1000"/>
      <c r="K106" s="1000"/>
      <c r="L106" s="1000"/>
      <c r="M106" s="1000"/>
    </row>
    <row r="107" spans="1:13" s="2" customFormat="1">
      <c r="A107" s="269" t="str">
        <f>A88</f>
        <v>c</v>
      </c>
      <c r="B107" s="1000" t="s">
        <v>240</v>
      </c>
      <c r="C107" s="1000"/>
      <c r="D107" s="1000"/>
      <c r="E107" s="1000"/>
      <c r="F107" s="1000"/>
      <c r="G107" s="1000"/>
      <c r="H107" s="1000"/>
      <c r="I107" s="1000"/>
      <c r="J107" s="1000"/>
      <c r="K107" s="1000"/>
      <c r="L107" s="1000"/>
      <c r="M107" s="1000"/>
    </row>
    <row r="108" spans="1:13" s="2" customFormat="1">
      <c r="A108" s="269" t="str">
        <f>A91</f>
        <v>d</v>
      </c>
      <c r="B108" s="1000" t="s">
        <v>240</v>
      </c>
      <c r="C108" s="1000"/>
      <c r="D108" s="1000"/>
      <c r="E108" s="1000"/>
      <c r="F108" s="1000"/>
      <c r="G108" s="1000"/>
      <c r="H108" s="1000"/>
      <c r="I108" s="1000"/>
      <c r="J108" s="1000"/>
      <c r="K108" s="1000"/>
      <c r="L108" s="1000"/>
      <c r="M108" s="1000"/>
    </row>
    <row r="109" spans="1:13" s="2" customFormat="1">
      <c r="A109" s="269" t="str">
        <f>A94</f>
        <v>e</v>
      </c>
      <c r="B109" s="1000" t="s">
        <v>240</v>
      </c>
      <c r="C109" s="1000"/>
      <c r="D109" s="1000"/>
      <c r="E109" s="1000"/>
      <c r="F109" s="1000"/>
      <c r="G109" s="1000"/>
      <c r="H109" s="1000"/>
      <c r="I109" s="1000"/>
      <c r="J109" s="1000"/>
      <c r="K109" s="1000"/>
      <c r="L109" s="1000"/>
      <c r="M109" s="1000"/>
    </row>
    <row r="110" spans="1:13" s="2" customFormat="1">
      <c r="A110" s="269" t="str">
        <f>A97</f>
        <v>f</v>
      </c>
      <c r="B110" s="1000" t="s">
        <v>240</v>
      </c>
      <c r="C110" s="1000"/>
      <c r="D110" s="1000"/>
      <c r="E110" s="1000"/>
      <c r="F110" s="1000"/>
      <c r="G110" s="1000"/>
      <c r="H110" s="1000"/>
      <c r="I110" s="1000"/>
      <c r="J110" s="1000"/>
      <c r="K110" s="1000"/>
      <c r="L110" s="1000"/>
      <c r="M110" s="1000"/>
    </row>
    <row r="111" spans="1:13" s="2" customFormat="1">
      <c r="A111" s="269" t="str">
        <f>A100</f>
        <v>g</v>
      </c>
      <c r="B111" s="1000" t="s">
        <v>240</v>
      </c>
      <c r="C111" s="1000"/>
      <c r="D111" s="1000"/>
      <c r="E111" s="1000"/>
      <c r="F111" s="1000"/>
      <c r="G111" s="1000"/>
      <c r="H111" s="1000"/>
      <c r="I111" s="1000"/>
      <c r="J111" s="1000"/>
      <c r="K111" s="1000"/>
      <c r="L111" s="1000"/>
      <c r="M111" s="1000"/>
    </row>
    <row r="112" spans="1:13" s="535" customFormat="1">
      <c r="A112" s="534"/>
      <c r="C112" s="536"/>
      <c r="D112" s="537"/>
      <c r="E112" s="537"/>
      <c r="F112" s="537"/>
      <c r="G112" s="537"/>
      <c r="H112" s="537"/>
      <c r="I112" s="537"/>
      <c r="J112" s="537"/>
      <c r="K112" s="537"/>
      <c r="L112" s="538"/>
      <c r="M112" s="538"/>
    </row>
    <row r="113" spans="1:14" s="535" customFormat="1">
      <c r="A113" s="534"/>
      <c r="C113" s="536"/>
      <c r="D113" s="536"/>
      <c r="E113" s="536"/>
      <c r="F113" s="536"/>
      <c r="G113" s="536"/>
      <c r="H113" s="536"/>
      <c r="I113" s="536"/>
      <c r="J113" s="536"/>
      <c r="K113" s="536"/>
      <c r="L113" s="536"/>
      <c r="M113" s="536"/>
    </row>
    <row r="114" spans="1:14" s="2" customFormat="1">
      <c r="A114" s="81"/>
      <c r="B114" s="81"/>
      <c r="C114" s="150"/>
      <c r="D114" s="81"/>
      <c r="E114" s="81"/>
      <c r="F114" s="81"/>
      <c r="G114" s="81"/>
      <c r="H114" s="81"/>
      <c r="I114" s="81"/>
      <c r="J114" s="81"/>
      <c r="K114" s="81"/>
      <c r="L114" s="81"/>
      <c r="M114" s="81"/>
      <c r="N114" s="81"/>
    </row>
  </sheetData>
  <mergeCells count="14">
    <mergeCell ref="B110:M110"/>
    <mergeCell ref="B111:M111"/>
    <mergeCell ref="B21:M21"/>
    <mergeCell ref="B22:M22"/>
    <mergeCell ref="B23:M23"/>
    <mergeCell ref="B24:M24"/>
    <mergeCell ref="B25:M25"/>
    <mergeCell ref="B105:M105"/>
    <mergeCell ref="B106:M106"/>
    <mergeCell ref="B107:M107"/>
    <mergeCell ref="B108:M108"/>
    <mergeCell ref="B109:M109"/>
    <mergeCell ref="B26:M26"/>
    <mergeCell ref="B27:M27"/>
  </mergeCells>
  <conditionalFormatting sqref="D6:K6">
    <cfRule type="expression" dxfId="45" priority="31">
      <formula>AND(D$5="Actuals",E$5="Forecast")</formula>
    </cfRule>
  </conditionalFormatting>
  <conditionalFormatting sqref="D5:K5">
    <cfRule type="expression" dxfId="44"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7" fitToHeight="2" orientation="landscape" r:id="rId1"/>
  <headerFooter>
    <oddFooter>&amp;C&amp;1#&amp;"Calibri"&amp;12&amp;K008000Internal Use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9.625" customWidth="1"/>
    <col min="3" max="3" width="14.125" style="136" customWidth="1"/>
    <col min="4" max="11" width="11.125" customWidth="1"/>
    <col min="12" max="12" width="5" customWidth="1"/>
  </cols>
  <sheetData>
    <row r="1" spans="1:12" s="31" customFormat="1" ht="20.25">
      <c r="A1" s="926" t="s">
        <v>100</v>
      </c>
      <c r="B1" s="922"/>
      <c r="C1" s="278"/>
      <c r="D1" s="256"/>
      <c r="E1" s="256"/>
      <c r="F1" s="256"/>
      <c r="G1" s="256"/>
      <c r="H1" s="256"/>
      <c r="I1" s="257"/>
      <c r="J1" s="257"/>
      <c r="K1" s="258"/>
      <c r="L1" s="259"/>
    </row>
    <row r="2" spans="1:12" s="31" customFormat="1" ht="20.25">
      <c r="A2" s="915" t="str">
        <f>'RFPR cover'!C5</f>
        <v>SPD</v>
      </c>
      <c r="B2" s="907"/>
      <c r="C2" s="134"/>
      <c r="D2" s="29"/>
      <c r="E2" s="29"/>
      <c r="F2" s="29"/>
      <c r="G2" s="29"/>
      <c r="H2" s="29"/>
      <c r="I2" s="27"/>
      <c r="J2" s="27"/>
      <c r="K2" s="27"/>
      <c r="L2" s="123"/>
    </row>
    <row r="3" spans="1:12" s="37" customFormat="1" ht="23.25">
      <c r="A3" s="918">
        <f>'RFPR cover'!C7</f>
        <v>2021</v>
      </c>
      <c r="B3" s="924" t="str">
        <f>'R1 - RoRE'!B3</f>
        <v/>
      </c>
      <c r="C3" s="280"/>
      <c r="D3" s="279"/>
      <c r="E3" s="279"/>
      <c r="F3" s="279"/>
      <c r="G3" s="279"/>
      <c r="H3" s="279"/>
      <c r="I3" s="255"/>
      <c r="J3" s="255"/>
      <c r="K3" s="255"/>
      <c r="L3" s="261"/>
    </row>
    <row r="4" spans="1:12" s="2" customFormat="1" ht="12.75" customHeight="1">
      <c r="C4" s="136"/>
    </row>
    <row r="5" spans="1:12" s="2" customFormat="1">
      <c r="B5" s="3"/>
      <c r="C5" s="136"/>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row>
    <row r="7" spans="1:12" s="2" customFormat="1">
      <c r="C7" s="136"/>
    </row>
    <row r="8" spans="1:12" s="2" customFormat="1">
      <c r="B8" s="51" t="s">
        <v>134</v>
      </c>
      <c r="C8" s="137"/>
      <c r="D8" s="57"/>
      <c r="E8" s="57"/>
      <c r="F8" s="57"/>
      <c r="G8" s="57"/>
      <c r="H8" s="57"/>
      <c r="I8" s="57"/>
      <c r="J8" s="57"/>
      <c r="K8" s="57"/>
    </row>
    <row r="9" spans="1:12" s="2" customFormat="1">
      <c r="B9" s="225" t="s">
        <v>501</v>
      </c>
      <c r="C9" s="152" t="s">
        <v>128</v>
      </c>
      <c r="D9" s="596">
        <v>1.7852340420357795</v>
      </c>
      <c r="E9" s="597">
        <v>1.7658983930531649</v>
      </c>
      <c r="F9" s="597">
        <v>1.610069317435129</v>
      </c>
      <c r="G9" s="597">
        <v>1.7625549644522502</v>
      </c>
      <c r="H9" s="597">
        <v>1.9849603920169092</v>
      </c>
      <c r="I9" s="597">
        <v>2.2030958805956713</v>
      </c>
      <c r="J9" s="597">
        <v>1.802</v>
      </c>
      <c r="K9" s="597">
        <v>1.8360000000000001</v>
      </c>
    </row>
    <row r="10" spans="1:12" s="2" customFormat="1">
      <c r="B10" s="225" t="s">
        <v>483</v>
      </c>
      <c r="C10" s="152" t="s">
        <v>128</v>
      </c>
      <c r="D10" s="598">
        <v>0</v>
      </c>
      <c r="E10" s="599">
        <v>0</v>
      </c>
      <c r="F10" s="599">
        <v>0</v>
      </c>
      <c r="G10" s="599">
        <v>0</v>
      </c>
      <c r="H10" s="599">
        <v>0</v>
      </c>
      <c r="I10" s="599">
        <v>0</v>
      </c>
      <c r="J10" s="599">
        <v>0</v>
      </c>
      <c r="K10" s="599">
        <v>0</v>
      </c>
    </row>
    <row r="11" spans="1:12" s="2" customFormat="1">
      <c r="B11" s="225" t="s">
        <v>500</v>
      </c>
      <c r="C11" s="152" t="s">
        <v>128</v>
      </c>
      <c r="D11" s="852">
        <v>0.16936514869495722</v>
      </c>
      <c r="E11" s="853">
        <v>0.16701334426031655</v>
      </c>
      <c r="F11" s="853">
        <v>0.15225693174351296</v>
      </c>
      <c r="G11" s="853">
        <v>0.17625549644522498</v>
      </c>
      <c r="H11" s="853">
        <v>0.19849603920169079</v>
      </c>
      <c r="I11" s="853">
        <v>0.22030958805956713</v>
      </c>
      <c r="J11" s="853">
        <v>0.18020000000000003</v>
      </c>
      <c r="K11" s="853">
        <v>0.18360000000000001</v>
      </c>
    </row>
    <row r="12" spans="1:12" s="12" customFormat="1">
      <c r="B12" s="51" t="s">
        <v>132</v>
      </c>
      <c r="C12" s="152" t="s">
        <v>128</v>
      </c>
      <c r="D12" s="612">
        <f>D9-D10-D11</f>
        <v>1.6158688933408223</v>
      </c>
      <c r="E12" s="613">
        <f t="shared" ref="E12:K12" si="1">E9-E10-E11</f>
        <v>1.5988850487928483</v>
      </c>
      <c r="F12" s="613">
        <f t="shared" si="1"/>
        <v>1.4578123856916161</v>
      </c>
      <c r="G12" s="613">
        <f t="shared" si="1"/>
        <v>1.5862994680070253</v>
      </c>
      <c r="H12" s="613">
        <f t="shared" si="1"/>
        <v>1.7864643528152184</v>
      </c>
      <c r="I12" s="613">
        <f t="shared" si="1"/>
        <v>1.9827862925361042</v>
      </c>
      <c r="J12" s="613">
        <f t="shared" si="1"/>
        <v>1.6217999999999999</v>
      </c>
      <c r="K12" s="613">
        <f t="shared" si="1"/>
        <v>1.6524000000000001</v>
      </c>
      <c r="L12" s="2"/>
    </row>
    <row r="13" spans="1:12" s="12" customFormat="1">
      <c r="B13" s="51"/>
      <c r="C13" s="136"/>
      <c r="D13" s="52"/>
      <c r="E13" s="52"/>
      <c r="F13" s="52"/>
      <c r="G13" s="52"/>
      <c r="H13" s="52"/>
      <c r="I13" s="52"/>
      <c r="J13" s="52"/>
      <c r="K13" s="52"/>
      <c r="L13" s="2"/>
    </row>
    <row r="14" spans="1:12" s="2" customFormat="1">
      <c r="B14" s="51" t="s">
        <v>155</v>
      </c>
      <c r="C14" s="137"/>
      <c r="D14" s="57"/>
      <c r="E14" s="57"/>
      <c r="F14" s="57"/>
      <c r="G14" s="57"/>
      <c r="H14" s="57"/>
      <c r="I14" s="57"/>
      <c r="J14" s="57"/>
      <c r="K14" s="57"/>
    </row>
    <row r="15" spans="1:12" s="2" customFormat="1" ht="13.15" customHeight="1">
      <c r="B15" s="225" t="s">
        <v>503</v>
      </c>
      <c r="C15" s="152" t="s">
        <v>128</v>
      </c>
      <c r="D15" s="596">
        <v>1.3859999999999999</v>
      </c>
      <c r="E15" s="597">
        <v>7.2999999999999995E-2</v>
      </c>
      <c r="F15" s="597">
        <v>0.21199999999999999</v>
      </c>
      <c r="G15" s="597">
        <v>0.57399999999999995</v>
      </c>
      <c r="H15" s="597">
        <v>7.850915E-2</v>
      </c>
      <c r="I15" s="597">
        <v>-0.21099999999999999</v>
      </c>
      <c r="J15" s="597">
        <v>4.7E-2</v>
      </c>
      <c r="K15" s="597">
        <v>0</v>
      </c>
    </row>
    <row r="16" spans="1:12" s="2" customFormat="1">
      <c r="B16" s="225" t="s">
        <v>502</v>
      </c>
      <c r="C16" s="152" t="s">
        <v>128</v>
      </c>
      <c r="D16" s="598">
        <v>0</v>
      </c>
      <c r="E16" s="599">
        <v>0</v>
      </c>
      <c r="F16" s="599">
        <v>0</v>
      </c>
      <c r="G16" s="599">
        <v>0</v>
      </c>
      <c r="H16" s="599">
        <v>0</v>
      </c>
      <c r="I16" s="599">
        <v>0</v>
      </c>
      <c r="J16" s="599">
        <v>0</v>
      </c>
      <c r="K16" s="599">
        <v>0</v>
      </c>
    </row>
    <row r="17" spans="2:12" s="12" customFormat="1">
      <c r="B17" s="51" t="s">
        <v>133</v>
      </c>
      <c r="C17" s="152" t="s">
        <v>128</v>
      </c>
      <c r="D17" s="612">
        <f>D15-D16</f>
        <v>1.3859999999999999</v>
      </c>
      <c r="E17" s="612">
        <f t="shared" ref="E17:K17" si="2">E15-E16</f>
        <v>7.2999999999999995E-2</v>
      </c>
      <c r="F17" s="612">
        <f t="shared" si="2"/>
        <v>0.21199999999999999</v>
      </c>
      <c r="G17" s="612">
        <f t="shared" si="2"/>
        <v>0.57399999999999995</v>
      </c>
      <c r="H17" s="612">
        <f t="shared" si="2"/>
        <v>7.850915E-2</v>
      </c>
      <c r="I17" s="612">
        <f t="shared" si="2"/>
        <v>-0.21099999999999999</v>
      </c>
      <c r="J17" s="612">
        <f t="shared" si="2"/>
        <v>4.7E-2</v>
      </c>
      <c r="K17" s="612">
        <f t="shared" si="2"/>
        <v>0</v>
      </c>
      <c r="L17" s="2"/>
    </row>
    <row r="18" spans="2:12" s="12" customFormat="1">
      <c r="B18" s="51"/>
      <c r="C18" s="136"/>
      <c r="D18" s="52"/>
      <c r="E18" s="52"/>
      <c r="F18" s="52"/>
      <c r="G18" s="52"/>
      <c r="H18" s="52"/>
      <c r="I18" s="52"/>
      <c r="J18" s="52"/>
      <c r="K18" s="52"/>
      <c r="L18" s="2"/>
    </row>
    <row r="19" spans="2:12" s="2" customFormat="1">
      <c r="B19" s="51" t="s">
        <v>156</v>
      </c>
      <c r="C19" s="137"/>
      <c r="D19" s="57"/>
      <c r="E19" s="57"/>
      <c r="F19" s="57"/>
      <c r="G19" s="57"/>
      <c r="H19" s="57"/>
      <c r="I19" s="57"/>
      <c r="J19" s="57"/>
      <c r="K19" s="57"/>
    </row>
    <row r="20" spans="2:12" s="2" customFormat="1">
      <c r="B20" s="225" t="s">
        <v>432</v>
      </c>
      <c r="C20" s="152" t="s">
        <v>128</v>
      </c>
      <c r="D20" s="596">
        <v>0</v>
      </c>
      <c r="E20" s="597">
        <v>5.1039404900000003</v>
      </c>
      <c r="F20" s="597">
        <v>0</v>
      </c>
      <c r="G20" s="597">
        <v>0</v>
      </c>
      <c r="H20" s="597">
        <v>0</v>
      </c>
      <c r="I20" s="597">
        <v>0</v>
      </c>
      <c r="J20" s="597">
        <v>0</v>
      </c>
      <c r="K20" s="597">
        <v>4</v>
      </c>
    </row>
    <row r="21" spans="2:12" s="2" customFormat="1">
      <c r="B21" s="225" t="s">
        <v>500</v>
      </c>
      <c r="C21" s="152" t="s">
        <v>128</v>
      </c>
      <c r="D21" s="634">
        <v>0</v>
      </c>
      <c r="E21" s="635">
        <v>0.56710450000000001</v>
      </c>
      <c r="F21" s="635">
        <v>0</v>
      </c>
      <c r="G21" s="635">
        <v>0</v>
      </c>
      <c r="H21" s="635">
        <v>0</v>
      </c>
      <c r="I21" s="635">
        <v>0</v>
      </c>
      <c r="J21" s="635">
        <v>0</v>
      </c>
      <c r="K21" s="635">
        <v>0.44444444444444464</v>
      </c>
    </row>
    <row r="22" spans="2:12" s="2" customFormat="1">
      <c r="B22" s="35"/>
      <c r="C22" s="138"/>
      <c r="D22" s="35"/>
      <c r="E22" s="35"/>
      <c r="F22" s="35"/>
      <c r="G22" s="35"/>
      <c r="H22" s="35"/>
      <c r="I22" s="35"/>
      <c r="J22" s="35"/>
      <c r="K22" s="35"/>
    </row>
    <row r="23" spans="2:12" s="2" customFormat="1">
      <c r="B23" s="225" t="s">
        <v>486</v>
      </c>
      <c r="C23" s="152" t="s">
        <v>128</v>
      </c>
      <c r="D23" s="634">
        <v>0</v>
      </c>
      <c r="E23" s="635">
        <v>0.51500000000000001</v>
      </c>
      <c r="F23" s="635">
        <v>0</v>
      </c>
      <c r="G23" s="635">
        <v>0.84599999999999997</v>
      </c>
      <c r="H23" s="635">
        <v>0</v>
      </c>
      <c r="I23" s="635">
        <v>0</v>
      </c>
      <c r="J23" s="635">
        <v>0</v>
      </c>
      <c r="K23" s="635">
        <v>0</v>
      </c>
    </row>
    <row r="24" spans="2:12" s="2" customFormat="1">
      <c r="B24" s="35"/>
      <c r="C24" s="138"/>
      <c r="D24" s="35"/>
      <c r="E24" s="35"/>
      <c r="F24" s="35"/>
      <c r="G24" s="35"/>
      <c r="H24" s="35"/>
      <c r="I24" s="35"/>
      <c r="J24" s="35"/>
      <c r="K24" s="35"/>
    </row>
    <row r="25" spans="2:12" s="2" customFormat="1">
      <c r="B25" s="81"/>
      <c r="C25" s="150"/>
      <c r="D25" s="81"/>
      <c r="E25" s="81"/>
      <c r="F25" s="81"/>
      <c r="G25" s="81"/>
      <c r="H25" s="81"/>
      <c r="I25" s="81"/>
      <c r="J25" s="81"/>
      <c r="K25" s="81"/>
      <c r="L25" s="81"/>
    </row>
    <row r="26" spans="2:12" s="2" customFormat="1">
      <c r="B26" s="35"/>
      <c r="C26" s="138"/>
      <c r="D26" s="35"/>
      <c r="E26" s="35"/>
      <c r="F26" s="35"/>
      <c r="G26" s="35"/>
      <c r="H26" s="35"/>
      <c r="I26" s="35"/>
      <c r="J26" s="35"/>
      <c r="K26" s="35"/>
    </row>
    <row r="27" spans="2:12" s="2" customFormat="1">
      <c r="B27" s="51" t="s">
        <v>378</v>
      </c>
      <c r="C27" s="138"/>
      <c r="D27" s="35"/>
      <c r="E27" s="35"/>
      <c r="F27" s="35"/>
      <c r="G27" s="35"/>
      <c r="H27" s="35"/>
      <c r="I27" s="35"/>
      <c r="J27" s="35"/>
      <c r="K27" s="35"/>
    </row>
    <row r="28" spans="2:12" s="2" customFormat="1">
      <c r="B28" s="225" t="s">
        <v>484</v>
      </c>
      <c r="C28" s="155" t="str">
        <f>'RFPR cover'!$C$14</f>
        <v>£m 12/13</v>
      </c>
      <c r="D28" s="682">
        <f>(SUM(D10,D11,D21)-D23)/Data!C34</f>
        <v>0.15973071180974918</v>
      </c>
      <c r="E28" s="682">
        <f>(SUM(E10,E11,E21)-E23)/Data!D34</f>
        <v>0.20231802674946017</v>
      </c>
      <c r="F28" s="682">
        <f>(SUM(F10,F11,F21)-F23)/Data!E34</f>
        <v>0.13551247971810218</v>
      </c>
      <c r="G28" s="682">
        <f>(SUM(G10,G11,G21)-G23)/Data!F34</f>
        <v>-0.57841549270498749</v>
      </c>
      <c r="H28" s="682">
        <f>(SUM(H10,H11,H21)-H23)/Data!G34</f>
        <v>0.1671025467471105</v>
      </c>
      <c r="I28" s="682">
        <f>(SUM(I10,I11,I21)-I23)/Data!H34</f>
        <v>0.18324390410812888</v>
      </c>
      <c r="J28" s="682">
        <f>(SUM(J10,J11,J21)-J23)/Data!I34</f>
        <v>0.1460131501057666</v>
      </c>
      <c r="K28" s="682">
        <f>(SUM(K10,K11,K21)-K23)/Data!J34</f>
        <v>0.49371260886324586</v>
      </c>
      <c r="L28" s="35"/>
    </row>
  </sheetData>
  <conditionalFormatting sqref="D6:K6">
    <cfRule type="expression" dxfId="43" priority="24">
      <formula>AND(D$5="Actuals",E$5="Forecast")</formula>
    </cfRule>
  </conditionalFormatting>
  <conditionalFormatting sqref="D5:K5">
    <cfRule type="expression" dxfId="4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headerFooter>
    <oddFooter>&amp;C&amp;1#&amp;"Calibri"&amp;12&amp;K008000Internal Use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110"/>
  <sheetViews>
    <sheetView showGridLines="0" zoomScale="79" zoomScaleNormal="55" workbookViewId="0">
      <pane ySplit="6" topLeftCell="A7" activePane="bottomLeft" state="frozen"/>
      <selection activeCell="B75" sqref="A1:XFD1048576"/>
      <selection pane="bottomLeft"/>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926" t="s">
        <v>263</v>
      </c>
      <c r="B1" s="922"/>
      <c r="C1" s="256"/>
      <c r="D1" s="256"/>
      <c r="E1" s="256"/>
      <c r="F1" s="256"/>
      <c r="G1" s="256"/>
      <c r="H1" s="256"/>
      <c r="I1" s="257"/>
      <c r="J1" s="257"/>
      <c r="K1" s="258"/>
      <c r="L1" s="258"/>
      <c r="M1" s="258"/>
      <c r="N1" s="259"/>
    </row>
    <row r="2" spans="1:14" s="31" customFormat="1" ht="20.25">
      <c r="A2" s="915" t="str">
        <f>'RFPR cover'!C5</f>
        <v>SPD</v>
      </c>
      <c r="B2" s="907"/>
      <c r="C2" s="29"/>
      <c r="D2" s="29"/>
      <c r="E2" s="29"/>
      <c r="F2" s="29"/>
      <c r="G2" s="29"/>
      <c r="H2" s="29"/>
      <c r="I2" s="27"/>
      <c r="J2" s="27"/>
      <c r="K2" s="27"/>
      <c r="L2" s="27"/>
      <c r="M2" s="27"/>
      <c r="N2" s="123"/>
    </row>
    <row r="3" spans="1:14" s="31" customFormat="1" ht="23.25">
      <c r="A3" s="918">
        <f>'RFPR cover'!C7</f>
        <v>2021</v>
      </c>
      <c r="B3" s="924" t="str">
        <f>'R1 - RoRE'!B3</f>
        <v/>
      </c>
      <c r="C3" s="260"/>
      <c r="D3" s="260"/>
      <c r="E3" s="260"/>
      <c r="F3" s="260"/>
      <c r="G3" s="260"/>
      <c r="H3" s="260"/>
      <c r="I3" s="255"/>
      <c r="J3" s="255"/>
      <c r="K3" s="255"/>
      <c r="L3" s="255"/>
      <c r="M3" s="255"/>
      <c r="N3" s="261"/>
    </row>
    <row r="4" spans="1:14" s="31" customFormat="1" ht="12.75" customHeight="1">
      <c r="A4" s="39"/>
      <c r="B4" s="39"/>
      <c r="C4" s="39"/>
      <c r="D4" s="39"/>
      <c r="E4" s="39"/>
      <c r="F4" s="39"/>
      <c r="G4" s="39"/>
      <c r="H4" s="39"/>
      <c r="I4" s="34"/>
      <c r="J4" s="34"/>
      <c r="K4" s="34"/>
      <c r="L4" s="33"/>
    </row>
    <row r="5" spans="1:14" s="2" customForma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row>
    <row r="6" spans="1:14" s="2" customFormat="1" ht="25.5">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L6" s="101" t="str">
        <f>"Cumulative to "&amp;'RFPR cover'!$C$7</f>
        <v>Cumulative to 2021</v>
      </c>
      <c r="M6" s="281" t="s">
        <v>109</v>
      </c>
    </row>
    <row r="7" spans="1:14" s="2" customFormat="1"/>
    <row r="8" spans="1:14">
      <c r="B8" s="480" t="s">
        <v>302</v>
      </c>
      <c r="C8" s="152" t="s">
        <v>128</v>
      </c>
      <c r="D8" s="348">
        <v>39.29999999999999</v>
      </c>
      <c r="E8" s="386">
        <v>38.799999999999997</v>
      </c>
      <c r="F8" s="386">
        <v>37.251288239999994</v>
      </c>
      <c r="G8" s="386">
        <v>37.247566710000001</v>
      </c>
      <c r="H8" s="386">
        <v>39.992103669999999</v>
      </c>
      <c r="I8" s="386">
        <v>36.970047109999996</v>
      </c>
      <c r="J8" s="386">
        <v>37.374613265795261</v>
      </c>
      <c r="K8" s="387">
        <v>35.785803342623019</v>
      </c>
      <c r="L8" s="35"/>
      <c r="M8" s="35"/>
    </row>
    <row r="9" spans="1:14">
      <c r="B9" s="14"/>
      <c r="C9" s="152"/>
      <c r="D9" s="229"/>
      <c r="E9" s="229"/>
      <c r="F9" s="229"/>
      <c r="G9" s="229"/>
      <c r="H9" s="229"/>
      <c r="I9" s="229"/>
      <c r="J9" s="229"/>
      <c r="K9" s="229"/>
      <c r="L9" s="35"/>
      <c r="M9" s="35"/>
    </row>
    <row r="10" spans="1:14">
      <c r="B10" s="14" t="s">
        <v>462</v>
      </c>
      <c r="C10" s="16"/>
      <c r="D10" s="230"/>
      <c r="E10" s="230"/>
      <c r="F10" s="230"/>
      <c r="G10" s="230"/>
      <c r="H10" s="230"/>
      <c r="I10" s="230"/>
      <c r="J10" s="230"/>
      <c r="K10" s="230"/>
      <c r="L10" s="35"/>
      <c r="M10" s="35"/>
    </row>
    <row r="11" spans="1:14">
      <c r="B11" s="370" t="s">
        <v>12</v>
      </c>
      <c r="C11" s="152" t="s">
        <v>128</v>
      </c>
      <c r="D11" s="378">
        <v>0</v>
      </c>
      <c r="E11" s="379">
        <v>0</v>
      </c>
      <c r="F11" s="379">
        <v>0</v>
      </c>
      <c r="G11" s="379">
        <v>0</v>
      </c>
      <c r="H11" s="379">
        <v>0</v>
      </c>
      <c r="I11" s="379">
        <v>0</v>
      </c>
      <c r="J11" s="379">
        <v>0</v>
      </c>
      <c r="K11" s="383">
        <v>0</v>
      </c>
      <c r="L11" s="35"/>
      <c r="M11" s="35"/>
    </row>
    <row r="12" spans="1:14">
      <c r="B12" s="370" t="s">
        <v>13</v>
      </c>
      <c r="C12" s="152" t="s">
        <v>128</v>
      </c>
      <c r="D12" s="347">
        <v>0</v>
      </c>
      <c r="E12" s="380">
        <v>0</v>
      </c>
      <c r="F12" s="380">
        <v>0</v>
      </c>
      <c r="G12" s="380">
        <v>0</v>
      </c>
      <c r="H12" s="380">
        <v>0</v>
      </c>
      <c r="I12" s="380">
        <v>0</v>
      </c>
      <c r="J12" s="380">
        <v>0</v>
      </c>
      <c r="K12" s="384">
        <v>0</v>
      </c>
      <c r="L12" s="35"/>
      <c r="M12" s="35"/>
    </row>
    <row r="13" spans="1:14">
      <c r="B13" s="370" t="s">
        <v>14</v>
      </c>
      <c r="C13" s="152" t="s">
        <v>128</v>
      </c>
      <c r="D13" s="347">
        <v>0</v>
      </c>
      <c r="E13" s="380">
        <v>0</v>
      </c>
      <c r="F13" s="380">
        <v>0</v>
      </c>
      <c r="G13" s="380">
        <v>0</v>
      </c>
      <c r="H13" s="380">
        <v>0</v>
      </c>
      <c r="I13" s="380">
        <v>0</v>
      </c>
      <c r="J13" s="380">
        <v>0</v>
      </c>
      <c r="K13" s="384">
        <v>0</v>
      </c>
      <c r="L13" s="35"/>
      <c r="M13" s="35"/>
    </row>
    <row r="14" spans="1:14">
      <c r="B14" s="370" t="s">
        <v>15</v>
      </c>
      <c r="C14" s="152" t="s">
        <v>128</v>
      </c>
      <c r="D14" s="347">
        <v>0</v>
      </c>
      <c r="E14" s="380">
        <v>0</v>
      </c>
      <c r="F14" s="380">
        <v>0</v>
      </c>
      <c r="G14" s="380">
        <v>0</v>
      </c>
      <c r="H14" s="380">
        <v>0</v>
      </c>
      <c r="I14" s="380">
        <v>0</v>
      </c>
      <c r="J14" s="380">
        <v>0</v>
      </c>
      <c r="K14" s="384">
        <v>0</v>
      </c>
      <c r="L14" s="35"/>
      <c r="M14" s="35"/>
    </row>
    <row r="15" spans="1:14">
      <c r="B15" s="370" t="s">
        <v>16</v>
      </c>
      <c r="C15" s="152" t="s">
        <v>128</v>
      </c>
      <c r="D15" s="347">
        <v>0</v>
      </c>
      <c r="E15" s="380">
        <v>0</v>
      </c>
      <c r="F15" s="380">
        <v>0</v>
      </c>
      <c r="G15" s="380">
        <v>0</v>
      </c>
      <c r="H15" s="380">
        <v>0</v>
      </c>
      <c r="I15" s="380">
        <v>0</v>
      </c>
      <c r="J15" s="380">
        <v>0</v>
      </c>
      <c r="K15" s="384">
        <v>0</v>
      </c>
      <c r="L15" s="35"/>
      <c r="M15" s="35"/>
    </row>
    <row r="16" spans="1:14">
      <c r="B16" s="370" t="s">
        <v>17</v>
      </c>
      <c r="C16" s="152" t="s">
        <v>128</v>
      </c>
      <c r="D16" s="347">
        <v>0</v>
      </c>
      <c r="E16" s="380">
        <v>0</v>
      </c>
      <c r="F16" s="380">
        <v>0</v>
      </c>
      <c r="G16" s="380">
        <v>0</v>
      </c>
      <c r="H16" s="380">
        <v>0</v>
      </c>
      <c r="I16" s="380">
        <v>0</v>
      </c>
      <c r="J16" s="380">
        <v>0</v>
      </c>
      <c r="K16" s="384">
        <v>0</v>
      </c>
      <c r="L16" s="35"/>
    </row>
    <row r="17" spans="2:12">
      <c r="B17" s="370" t="s">
        <v>281</v>
      </c>
      <c r="C17" s="152" t="s">
        <v>128</v>
      </c>
      <c r="D17" s="347">
        <v>0</v>
      </c>
      <c r="E17" s="380">
        <v>0</v>
      </c>
      <c r="F17" s="380">
        <v>0</v>
      </c>
      <c r="G17" s="380">
        <v>0</v>
      </c>
      <c r="H17" s="380">
        <v>0</v>
      </c>
      <c r="I17" s="380">
        <v>0</v>
      </c>
      <c r="J17" s="380">
        <v>0</v>
      </c>
      <c r="K17" s="384">
        <v>0</v>
      </c>
      <c r="L17" s="35"/>
    </row>
    <row r="18" spans="2:12" ht="12.75" customHeight="1">
      <c r="B18" s="370" t="s">
        <v>18</v>
      </c>
      <c r="C18" s="152" t="s">
        <v>128</v>
      </c>
      <c r="D18" s="347">
        <v>0</v>
      </c>
      <c r="E18" s="380">
        <v>0</v>
      </c>
      <c r="F18" s="380">
        <v>0</v>
      </c>
      <c r="G18" s="380">
        <v>0</v>
      </c>
      <c r="H18" s="380">
        <v>0</v>
      </c>
      <c r="I18" s="380">
        <v>0</v>
      </c>
      <c r="J18" s="380">
        <v>0</v>
      </c>
      <c r="K18" s="384">
        <v>0</v>
      </c>
      <c r="L18" s="35"/>
    </row>
    <row r="19" spans="2:12">
      <c r="B19" s="370" t="s">
        <v>613</v>
      </c>
      <c r="C19" s="152" t="s">
        <v>128</v>
      </c>
      <c r="D19" s="347">
        <v>0</v>
      </c>
      <c r="E19" s="380">
        <v>0</v>
      </c>
      <c r="F19" s="380">
        <v>0</v>
      </c>
      <c r="G19" s="380">
        <v>0</v>
      </c>
      <c r="H19" s="380">
        <v>0</v>
      </c>
      <c r="I19" s="380">
        <v>0</v>
      </c>
      <c r="J19" s="380">
        <v>0</v>
      </c>
      <c r="K19" s="384">
        <v>0</v>
      </c>
      <c r="L19" s="35"/>
    </row>
    <row r="20" spans="2:12">
      <c r="B20" s="370" t="s">
        <v>614</v>
      </c>
      <c r="C20" s="152" t="s">
        <v>128</v>
      </c>
      <c r="D20" s="347">
        <v>0</v>
      </c>
      <c r="E20" s="380">
        <v>0</v>
      </c>
      <c r="F20" s="380">
        <v>0</v>
      </c>
      <c r="G20" s="380">
        <v>0</v>
      </c>
      <c r="H20" s="380">
        <v>0</v>
      </c>
      <c r="I20" s="380">
        <v>0</v>
      </c>
      <c r="J20" s="380">
        <v>0</v>
      </c>
      <c r="K20" s="384">
        <v>0</v>
      </c>
      <c r="L20" s="35"/>
    </row>
    <row r="21" spans="2:12">
      <c r="B21" s="370" t="s">
        <v>615</v>
      </c>
      <c r="C21" s="152" t="s">
        <v>128</v>
      </c>
      <c r="D21" s="347">
        <v>0</v>
      </c>
      <c r="E21" s="380">
        <v>0</v>
      </c>
      <c r="F21" s="380">
        <v>0</v>
      </c>
      <c r="G21" s="380">
        <v>0</v>
      </c>
      <c r="H21" s="380">
        <v>0</v>
      </c>
      <c r="I21" s="380">
        <v>0</v>
      </c>
      <c r="J21" s="380">
        <v>0</v>
      </c>
      <c r="K21" s="384">
        <v>0</v>
      </c>
      <c r="L21" s="35"/>
    </row>
    <row r="22" spans="2:12">
      <c r="B22" s="370" t="s">
        <v>616</v>
      </c>
      <c r="C22" s="152" t="s">
        <v>128</v>
      </c>
      <c r="D22" s="347">
        <v>0</v>
      </c>
      <c r="E22" s="380">
        <v>0</v>
      </c>
      <c r="F22" s="380">
        <v>0</v>
      </c>
      <c r="G22" s="380">
        <v>0</v>
      </c>
      <c r="H22" s="380">
        <v>0</v>
      </c>
      <c r="I22" s="380">
        <v>0</v>
      </c>
      <c r="J22" s="380">
        <v>0</v>
      </c>
      <c r="K22" s="384">
        <v>0</v>
      </c>
      <c r="L22" s="35"/>
    </row>
    <row r="23" spans="2:12">
      <c r="B23" s="370" t="s">
        <v>617</v>
      </c>
      <c r="C23" s="152" t="s">
        <v>128</v>
      </c>
      <c r="D23" s="347">
        <v>0</v>
      </c>
      <c r="E23" s="380">
        <v>0</v>
      </c>
      <c r="F23" s="380">
        <v>0</v>
      </c>
      <c r="G23" s="380">
        <v>0</v>
      </c>
      <c r="H23" s="380">
        <v>0</v>
      </c>
      <c r="I23" s="380">
        <v>0</v>
      </c>
      <c r="J23" s="380">
        <v>0</v>
      </c>
      <c r="K23" s="384">
        <v>0</v>
      </c>
      <c r="L23" s="35"/>
    </row>
    <row r="24" spans="2:12">
      <c r="B24" s="370" t="s">
        <v>618</v>
      </c>
      <c r="C24" s="152" t="s">
        <v>128</v>
      </c>
      <c r="D24" s="347">
        <v>0</v>
      </c>
      <c r="E24" s="380">
        <v>0</v>
      </c>
      <c r="F24" s="380">
        <v>0</v>
      </c>
      <c r="G24" s="380">
        <v>0</v>
      </c>
      <c r="H24" s="380">
        <v>0</v>
      </c>
      <c r="I24" s="380">
        <v>0</v>
      </c>
      <c r="J24" s="380">
        <v>0</v>
      </c>
      <c r="K24" s="384">
        <v>0</v>
      </c>
      <c r="L24" s="35"/>
    </row>
    <row r="25" spans="2:12">
      <c r="B25" s="370" t="s">
        <v>619</v>
      </c>
      <c r="C25" s="152" t="s">
        <v>128</v>
      </c>
      <c r="D25" s="347">
        <v>0</v>
      </c>
      <c r="E25" s="380">
        <v>0</v>
      </c>
      <c r="F25" s="380">
        <v>0</v>
      </c>
      <c r="G25" s="380">
        <v>0</v>
      </c>
      <c r="H25" s="380">
        <v>0</v>
      </c>
      <c r="I25" s="380">
        <v>0</v>
      </c>
      <c r="J25" s="380">
        <v>0</v>
      </c>
      <c r="K25" s="384">
        <v>0</v>
      </c>
      <c r="L25" s="35"/>
    </row>
    <row r="26" spans="2:12">
      <c r="B26" s="370" t="s">
        <v>620</v>
      </c>
      <c r="C26" s="152" t="s">
        <v>128</v>
      </c>
      <c r="D26" s="347">
        <v>0</v>
      </c>
      <c r="E26" s="380">
        <v>0</v>
      </c>
      <c r="F26" s="380">
        <v>0</v>
      </c>
      <c r="G26" s="380">
        <v>0</v>
      </c>
      <c r="H26" s="380">
        <v>0</v>
      </c>
      <c r="I26" s="380">
        <v>0</v>
      </c>
      <c r="J26" s="380">
        <v>0</v>
      </c>
      <c r="K26" s="384">
        <v>0</v>
      </c>
      <c r="L26" s="35"/>
    </row>
    <row r="27" spans="2:12">
      <c r="B27" s="370" t="s">
        <v>621</v>
      </c>
      <c r="C27" s="152" t="s">
        <v>128</v>
      </c>
      <c r="D27" s="381">
        <v>0</v>
      </c>
      <c r="E27" s="382">
        <v>0</v>
      </c>
      <c r="F27" s="382">
        <v>0</v>
      </c>
      <c r="G27" s="382">
        <v>0</v>
      </c>
      <c r="H27" s="382">
        <v>0</v>
      </c>
      <c r="I27" s="382">
        <v>0</v>
      </c>
      <c r="J27" s="382">
        <v>0</v>
      </c>
      <c r="K27" s="385">
        <v>0</v>
      </c>
      <c r="L27" s="35"/>
    </row>
    <row r="28" spans="2:12">
      <c r="B28" s="13" t="s">
        <v>19</v>
      </c>
      <c r="C28" s="152" t="s">
        <v>128</v>
      </c>
      <c r="D28" s="142">
        <f t="shared" ref="D28:K28" si="1">SUM(D8,D11:D27)</f>
        <v>39.29999999999999</v>
      </c>
      <c r="E28" s="143">
        <f t="shared" si="1"/>
        <v>38.799999999999997</v>
      </c>
      <c r="F28" s="143">
        <f t="shared" si="1"/>
        <v>37.251288239999994</v>
      </c>
      <c r="G28" s="143">
        <f t="shared" si="1"/>
        <v>37.247566710000001</v>
      </c>
      <c r="H28" s="143">
        <f t="shared" si="1"/>
        <v>39.992103669999999</v>
      </c>
      <c r="I28" s="143">
        <f t="shared" si="1"/>
        <v>36.970047109999996</v>
      </c>
      <c r="J28" s="143">
        <f t="shared" si="1"/>
        <v>37.374613265795261</v>
      </c>
      <c r="K28" s="144">
        <f t="shared" si="1"/>
        <v>35.785803342623019</v>
      </c>
      <c r="L28" s="35"/>
    </row>
    <row r="29" spans="2:12">
      <c r="B29" s="371" t="s">
        <v>524</v>
      </c>
      <c r="C29" s="152" t="s">
        <v>128</v>
      </c>
      <c r="D29" s="388"/>
      <c r="E29" s="389"/>
      <c r="F29" s="389"/>
      <c r="G29" s="683"/>
      <c r="H29" s="683"/>
      <c r="I29" s="683"/>
      <c r="J29" s="589">
        <v>0.46237766522268747</v>
      </c>
      <c r="K29" s="684">
        <v>2.4348859975606412</v>
      </c>
      <c r="L29" s="35"/>
    </row>
    <row r="30" spans="2:12">
      <c r="B30" s="346" t="s">
        <v>303</v>
      </c>
      <c r="C30" s="152" t="s">
        <v>128</v>
      </c>
      <c r="D30" s="142">
        <f>SUM(D28:D29)</f>
        <v>39.29999999999999</v>
      </c>
      <c r="E30" s="143">
        <f t="shared" ref="E30:K30" si="2">SUM(E28:E29)</f>
        <v>38.799999999999997</v>
      </c>
      <c r="F30" s="143">
        <f t="shared" si="2"/>
        <v>37.251288239999994</v>
      </c>
      <c r="G30" s="143">
        <f t="shared" si="2"/>
        <v>37.247566710000001</v>
      </c>
      <c r="H30" s="143">
        <f t="shared" si="2"/>
        <v>39.992103669999999</v>
      </c>
      <c r="I30" s="143">
        <f t="shared" si="2"/>
        <v>36.970047109999996</v>
      </c>
      <c r="J30" s="143">
        <f t="shared" si="2"/>
        <v>37.836990931017951</v>
      </c>
      <c r="K30" s="144">
        <f t="shared" si="2"/>
        <v>38.220689340183661</v>
      </c>
    </row>
    <row r="31" spans="2:12">
      <c r="B31" s="213" t="s">
        <v>21</v>
      </c>
      <c r="C31" s="152" t="s">
        <v>128</v>
      </c>
      <c r="D31" s="588">
        <v>20.850808579999999</v>
      </c>
      <c r="E31" s="589">
        <v>20.851048310000003</v>
      </c>
      <c r="F31" s="589">
        <v>20.851288239999999</v>
      </c>
      <c r="G31" s="589">
        <v>20.85152836</v>
      </c>
      <c r="H31" s="589">
        <v>20.851768699999994</v>
      </c>
      <c r="I31" s="589">
        <v>20.852009229999997</v>
      </c>
      <c r="J31" s="589">
        <v>20.852009229999997</v>
      </c>
      <c r="K31" s="684">
        <v>20.852009229999997</v>
      </c>
    </row>
    <row r="32" spans="2:12">
      <c r="B32" s="213" t="s">
        <v>456</v>
      </c>
      <c r="C32" s="152" t="s">
        <v>128</v>
      </c>
      <c r="D32" s="592">
        <v>18.449191419999991</v>
      </c>
      <c r="E32" s="593">
        <v>17.948951689999994</v>
      </c>
      <c r="F32" s="593">
        <v>16.399999999999995</v>
      </c>
      <c r="G32" s="593">
        <v>16.396038350000001</v>
      </c>
      <c r="H32" s="593">
        <v>19.140334970000001</v>
      </c>
      <c r="I32" s="593">
        <v>16.118037879999999</v>
      </c>
      <c r="J32" s="593">
        <v>16.984981701017954</v>
      </c>
      <c r="K32" s="685">
        <v>17.368680110183664</v>
      </c>
    </row>
    <row r="33" spans="2:14">
      <c r="B33" s="213"/>
      <c r="D33" s="226" t="s">
        <v>636</v>
      </c>
      <c r="E33" s="227" t="s">
        <v>636</v>
      </c>
      <c r="F33" s="227" t="s">
        <v>636</v>
      </c>
      <c r="G33" s="227" t="s">
        <v>636</v>
      </c>
      <c r="H33" s="227" t="s">
        <v>636</v>
      </c>
      <c r="I33" s="227" t="s">
        <v>636</v>
      </c>
      <c r="J33" s="227" t="s">
        <v>636</v>
      </c>
      <c r="K33" s="228" t="s">
        <v>636</v>
      </c>
    </row>
    <row r="34" spans="2:14">
      <c r="D34" s="23"/>
      <c r="E34" s="23"/>
      <c r="F34" s="23"/>
      <c r="G34" s="23"/>
      <c r="H34" s="23"/>
      <c r="I34" s="23"/>
      <c r="J34" s="23"/>
      <c r="K34" s="23"/>
    </row>
    <row r="35" spans="2:14">
      <c r="B35" s="213" t="s">
        <v>518</v>
      </c>
      <c r="C35" s="152" t="s">
        <v>128</v>
      </c>
      <c r="D35" s="588">
        <v>0</v>
      </c>
      <c r="E35" s="589">
        <v>0</v>
      </c>
      <c r="F35" s="589">
        <v>0</v>
      </c>
      <c r="G35" s="589">
        <v>0</v>
      </c>
      <c r="H35" s="589">
        <v>0</v>
      </c>
      <c r="I35" s="589">
        <v>0</v>
      </c>
      <c r="J35" s="589">
        <v>0</v>
      </c>
      <c r="K35" s="684">
        <v>0</v>
      </c>
    </row>
    <row r="36" spans="2:14">
      <c r="D36" s="23"/>
      <c r="E36" s="23"/>
      <c r="F36" s="23"/>
      <c r="G36" s="23"/>
      <c r="H36" s="23"/>
      <c r="I36" s="23"/>
      <c r="J36" s="23"/>
      <c r="K36" s="23"/>
    </row>
    <row r="37" spans="2:14">
      <c r="B37" s="213" t="s">
        <v>82</v>
      </c>
      <c r="C37" s="152" t="s">
        <v>128</v>
      </c>
      <c r="D37" s="885">
        <v>10.89730740609437</v>
      </c>
      <c r="E37" s="885">
        <v>21.99318359653563</v>
      </c>
      <c r="F37" s="885">
        <v>40.290111399589506</v>
      </c>
      <c r="G37" s="885">
        <v>34.457636736653505</v>
      </c>
      <c r="H37" s="885">
        <v>30.582926002795489</v>
      </c>
      <c r="I37" s="885">
        <v>15.06997616162243</v>
      </c>
      <c r="J37" s="885">
        <v>34.480959757372283</v>
      </c>
      <c r="K37" s="885">
        <v>41.646835143036277</v>
      </c>
      <c r="N37" s="322"/>
    </row>
    <row r="38" spans="2:14" s="31" customFormat="1">
      <c r="B38" s="212"/>
      <c r="C38" s="826"/>
      <c r="D38" s="828"/>
      <c r="E38" s="828"/>
      <c r="F38" s="828"/>
      <c r="G38" s="828"/>
      <c r="H38" s="828"/>
      <c r="I38" s="828"/>
      <c r="J38" s="828"/>
      <c r="K38" s="828"/>
      <c r="L38"/>
      <c r="M38"/>
      <c r="N38" s="827"/>
    </row>
    <row r="39" spans="2:14">
      <c r="B39" s="213" t="s">
        <v>470</v>
      </c>
      <c r="C39" s="152" t="s">
        <v>128</v>
      </c>
      <c r="D39" s="102">
        <f t="shared" ref="D39:K39" si="3">D30-D37</f>
        <v>28.40269259390562</v>
      </c>
      <c r="E39" s="102">
        <f>E30-E37</f>
        <v>16.806816403464367</v>
      </c>
      <c r="F39" s="102">
        <f t="shared" si="3"/>
        <v>-3.0388231595895121</v>
      </c>
      <c r="G39" s="102">
        <f t="shared" si="3"/>
        <v>2.7899299733464957</v>
      </c>
      <c r="H39" s="102">
        <f t="shared" si="3"/>
        <v>9.40917766720451</v>
      </c>
      <c r="I39" s="102">
        <f>I30-I37</f>
        <v>21.900070948377568</v>
      </c>
      <c r="J39" s="102">
        <f t="shared" si="3"/>
        <v>3.3560311736456683</v>
      </c>
      <c r="K39" s="102">
        <f t="shared" si="3"/>
        <v>-3.4261458028526164</v>
      </c>
    </row>
    <row r="40" spans="2:14">
      <c r="B40" s="213"/>
      <c r="C40" s="152"/>
      <c r="D40" s="152"/>
      <c r="E40" s="152"/>
      <c r="F40" s="152"/>
      <c r="G40" s="152"/>
      <c r="H40" s="152"/>
      <c r="I40" s="152"/>
      <c r="J40" s="152"/>
      <c r="K40" s="152"/>
      <c r="L40" s="152"/>
      <c r="N40" s="322"/>
    </row>
    <row r="41" spans="2:14">
      <c r="B41" s="855" t="s">
        <v>360</v>
      </c>
      <c r="C41" s="152" t="s">
        <v>127</v>
      </c>
      <c r="D41" s="506">
        <f>Data!C34</f>
        <v>1.0603167467048125</v>
      </c>
      <c r="E41" s="506">
        <f>Data!D34</f>
        <v>1.0830366813119445</v>
      </c>
      <c r="F41" s="506">
        <f>Data!E34</f>
        <v>1.1235639113109226</v>
      </c>
      <c r="G41" s="506">
        <f>Data!F34</f>
        <v>1.1578951670583426</v>
      </c>
      <c r="H41" s="506">
        <f>Data!G34</f>
        <v>1.1878696229692449</v>
      </c>
      <c r="I41" s="506">
        <f>Data!H34</f>
        <v>1.202275126868976</v>
      </c>
      <c r="J41" s="506">
        <f>Data!I34</f>
        <v>1.2341354177310038</v>
      </c>
      <c r="K41" s="506">
        <f>Data!J34</f>
        <v>1.2720850818262321</v>
      </c>
      <c r="L41" s="152"/>
      <c r="N41" s="322"/>
    </row>
    <row r="42" spans="2:14">
      <c r="L42" s="155"/>
      <c r="M42" s="155"/>
      <c r="N42" s="155"/>
    </row>
    <row r="43" spans="2:14">
      <c r="B43" s="837" t="s">
        <v>416</v>
      </c>
      <c r="C43" s="156" t="str">
        <f>'RFPR cover'!$C$14</f>
        <v>£m 12/13</v>
      </c>
      <c r="D43" s="145">
        <f t="shared" ref="D43:K43" si="4">D39/D41</f>
        <v>26.786988588243815</v>
      </c>
      <c r="E43" s="146">
        <f>E39/E41</f>
        <v>15.518233771274769</v>
      </c>
      <c r="F43" s="146">
        <f t="shared" si="4"/>
        <v>-2.7046286633075933</v>
      </c>
      <c r="G43" s="146">
        <f t="shared" si="4"/>
        <v>2.4094840817363221</v>
      </c>
      <c r="H43" s="146">
        <f t="shared" si="4"/>
        <v>7.9210525172661335</v>
      </c>
      <c r="I43" s="146">
        <f t="shared" si="4"/>
        <v>18.215523601000388</v>
      </c>
      <c r="J43" s="146">
        <f t="shared" si="4"/>
        <v>2.7193378663549219</v>
      </c>
      <c r="K43" s="147">
        <f t="shared" si="4"/>
        <v>-2.693330699180883</v>
      </c>
      <c r="L43" s="691">
        <f>SUM(D43:INDEX(D43:K43,0,MATCH('RFPR cover'!$C$7,$D$6:$K$6,0)))</f>
        <v>68.146653896213834</v>
      </c>
      <c r="M43" s="692">
        <f>SUM(D43:K43)</f>
        <v>68.172661063387878</v>
      </c>
    </row>
    <row r="44" spans="2:14">
      <c r="B44" s="213"/>
      <c r="C44" s="66"/>
      <c r="D44" s="809"/>
      <c r="E44" s="809"/>
      <c r="F44" s="809"/>
      <c r="G44" s="809"/>
      <c r="H44" s="809"/>
      <c r="I44" s="809"/>
      <c r="J44" s="809"/>
      <c r="K44" s="809"/>
      <c r="L44" s="832"/>
      <c r="M44" s="832"/>
    </row>
    <row r="45" spans="2:14">
      <c r="B45" s="837" t="s">
        <v>506</v>
      </c>
      <c r="C45" s="152"/>
      <c r="D45" s="809"/>
      <c r="E45" s="809"/>
      <c r="F45" s="809"/>
      <c r="G45" s="809"/>
      <c r="H45" s="809"/>
      <c r="I45" s="809"/>
      <c r="J45" s="809"/>
      <c r="K45" s="809"/>
      <c r="L45" s="832"/>
      <c r="M45" s="832"/>
    </row>
    <row r="46" spans="2:14">
      <c r="B46" s="370" t="s">
        <v>491</v>
      </c>
      <c r="C46" s="152" t="s">
        <v>128</v>
      </c>
      <c r="D46" s="884">
        <v>0</v>
      </c>
      <c r="E46" s="884">
        <v>0</v>
      </c>
      <c r="F46" s="884">
        <v>0</v>
      </c>
      <c r="G46" s="884">
        <v>0</v>
      </c>
      <c r="H46" s="884">
        <v>0</v>
      </c>
      <c r="I46" s="884">
        <v>0</v>
      </c>
      <c r="J46" s="884">
        <v>0</v>
      </c>
      <c r="K46" s="884">
        <v>0</v>
      </c>
      <c r="L46" s="691">
        <f>SUM(D46:INDEX(D46:K46,0,MATCH('RFPR cover'!$C$7,$D$6:$K$6,0)))</f>
        <v>0</v>
      </c>
      <c r="M46" s="691">
        <f>SUM(D46:K46)</f>
        <v>0</v>
      </c>
    </row>
    <row r="47" spans="2:14">
      <c r="B47" s="370" t="s">
        <v>527</v>
      </c>
      <c r="C47" s="152" t="s">
        <v>128</v>
      </c>
      <c r="D47" s="388"/>
      <c r="E47" s="389"/>
      <c r="F47" s="389"/>
      <c r="G47" s="683"/>
      <c r="H47" s="683"/>
      <c r="I47" s="683"/>
      <c r="J47" s="683">
        <v>0</v>
      </c>
      <c r="K47" s="683">
        <v>0</v>
      </c>
      <c r="L47" s="691">
        <f>SUM(D47:INDEX(D47:K47,0,MATCH('RFPR cover'!$C$7,$D$6:$K$6,0)))</f>
        <v>0</v>
      </c>
      <c r="M47" s="691">
        <f>SUM(D47:K47)</f>
        <v>0</v>
      </c>
    </row>
    <row r="48" spans="2:14">
      <c r="B48" s="370" t="s">
        <v>509</v>
      </c>
      <c r="C48" s="152" t="s">
        <v>128</v>
      </c>
      <c r="D48" s="884">
        <v>0</v>
      </c>
      <c r="E48" s="884">
        <v>0</v>
      </c>
      <c r="F48" s="884">
        <v>0</v>
      </c>
      <c r="G48" s="884">
        <v>0</v>
      </c>
      <c r="H48" s="884">
        <v>0</v>
      </c>
      <c r="I48" s="884">
        <v>0</v>
      </c>
      <c r="J48" s="884">
        <v>0</v>
      </c>
      <c r="K48" s="884">
        <v>0</v>
      </c>
      <c r="L48" s="691">
        <f>SUM(D48:INDEX(D48:K48,0,MATCH('RFPR cover'!$C$7,$D$6:$K$6,0)))</f>
        <v>0</v>
      </c>
      <c r="M48" s="691">
        <f t="shared" ref="M48:M55" si="5">SUM(D48:K48)</f>
        <v>0</v>
      </c>
    </row>
    <row r="49" spans="1:14">
      <c r="B49" s="370" t="s">
        <v>510</v>
      </c>
      <c r="C49" s="152" t="s">
        <v>128</v>
      </c>
      <c r="D49" s="884">
        <v>0</v>
      </c>
      <c r="E49" s="884">
        <v>0</v>
      </c>
      <c r="F49" s="884">
        <v>0</v>
      </c>
      <c r="G49" s="884">
        <v>0</v>
      </c>
      <c r="H49" s="884">
        <v>0</v>
      </c>
      <c r="I49" s="884">
        <v>0</v>
      </c>
      <c r="J49" s="884">
        <v>0</v>
      </c>
      <c r="K49" s="884">
        <v>0</v>
      </c>
      <c r="L49" s="691">
        <f>SUM(D49:INDEX(D49:K49,0,MATCH('RFPR cover'!$C$7,$D$6:$K$6,0)))</f>
        <v>0</v>
      </c>
      <c r="M49" s="691">
        <f t="shared" si="5"/>
        <v>0</v>
      </c>
    </row>
    <row r="50" spans="1:14">
      <c r="B50" s="370" t="s">
        <v>622</v>
      </c>
      <c r="C50" s="152" t="s">
        <v>128</v>
      </c>
      <c r="D50" s="884">
        <v>0</v>
      </c>
      <c r="E50" s="884">
        <v>0</v>
      </c>
      <c r="F50" s="884">
        <v>0</v>
      </c>
      <c r="G50" s="884">
        <v>0</v>
      </c>
      <c r="H50" s="884">
        <v>0</v>
      </c>
      <c r="I50" s="884">
        <v>0</v>
      </c>
      <c r="J50" s="884">
        <v>0</v>
      </c>
      <c r="K50" s="884">
        <v>0</v>
      </c>
      <c r="L50" s="691">
        <f>SUM(D50:INDEX(D50:K50,0,MATCH('RFPR cover'!$C$7,$D$6:$K$6,0)))</f>
        <v>0</v>
      </c>
      <c r="M50" s="691">
        <f t="shared" si="5"/>
        <v>0</v>
      </c>
    </row>
    <row r="51" spans="1:14">
      <c r="B51" s="370" t="s">
        <v>622</v>
      </c>
      <c r="C51" s="152" t="s">
        <v>128</v>
      </c>
      <c r="D51" s="884">
        <v>0</v>
      </c>
      <c r="E51" s="884">
        <v>0</v>
      </c>
      <c r="F51" s="884">
        <v>0</v>
      </c>
      <c r="G51" s="884">
        <v>0</v>
      </c>
      <c r="H51" s="884">
        <v>0</v>
      </c>
      <c r="I51" s="884">
        <v>0</v>
      </c>
      <c r="J51" s="884">
        <v>0</v>
      </c>
      <c r="K51" s="884">
        <v>0</v>
      </c>
      <c r="L51" s="691">
        <f>SUM(D51:INDEX(D51:K51,0,MATCH('RFPR cover'!$C$7,$D$6:$K$6,0)))</f>
        <v>0</v>
      </c>
      <c r="M51" s="691">
        <f t="shared" si="5"/>
        <v>0</v>
      </c>
    </row>
    <row r="52" spans="1:14">
      <c r="B52" s="370" t="s">
        <v>622</v>
      </c>
      <c r="C52" s="152" t="s">
        <v>128</v>
      </c>
      <c r="D52" s="884">
        <v>0</v>
      </c>
      <c r="E52" s="884">
        <v>0</v>
      </c>
      <c r="F52" s="884">
        <v>0</v>
      </c>
      <c r="G52" s="884">
        <v>0</v>
      </c>
      <c r="H52" s="884">
        <v>0</v>
      </c>
      <c r="I52" s="884">
        <v>0</v>
      </c>
      <c r="J52" s="884">
        <v>0</v>
      </c>
      <c r="K52" s="884">
        <v>0</v>
      </c>
      <c r="L52" s="691">
        <f>SUM(D52:INDEX(D52:K52,0,MATCH('RFPR cover'!$C$7,$D$6:$K$6,0)))</f>
        <v>0</v>
      </c>
      <c r="M52" s="691">
        <f t="shared" si="5"/>
        <v>0</v>
      </c>
    </row>
    <row r="53" spans="1:14">
      <c r="B53" s="370" t="s">
        <v>622</v>
      </c>
      <c r="C53" s="152" t="s">
        <v>128</v>
      </c>
      <c r="D53" s="884">
        <v>0</v>
      </c>
      <c r="E53" s="884">
        <v>0</v>
      </c>
      <c r="F53" s="884">
        <v>0</v>
      </c>
      <c r="G53" s="884">
        <v>0</v>
      </c>
      <c r="H53" s="884">
        <v>0</v>
      </c>
      <c r="I53" s="884">
        <v>0</v>
      </c>
      <c r="J53" s="884">
        <v>0</v>
      </c>
      <c r="K53" s="884">
        <v>0</v>
      </c>
      <c r="L53" s="691">
        <f>SUM(D53:INDEX(D53:K53,0,MATCH('RFPR cover'!$C$7,$D$6:$K$6,0)))</f>
        <v>0</v>
      </c>
      <c r="M53" s="691">
        <f t="shared" si="5"/>
        <v>0</v>
      </c>
    </row>
    <row r="54" spans="1:14" s="867" customFormat="1">
      <c r="B54" s="866"/>
      <c r="C54" s="868"/>
      <c r="D54" s="869"/>
      <c r="E54" s="869"/>
      <c r="F54" s="869"/>
      <c r="G54" s="869"/>
      <c r="H54" s="869"/>
      <c r="I54" s="869"/>
      <c r="J54" s="869"/>
      <c r="K54" s="869"/>
      <c r="L54" s="870"/>
      <c r="M54" s="870"/>
    </row>
    <row r="55" spans="1:14">
      <c r="B55" s="861" t="s">
        <v>507</v>
      </c>
      <c r="C55" s="235" t="s">
        <v>128</v>
      </c>
      <c r="D55" s="145">
        <f>SUM(D46:D53)</f>
        <v>0</v>
      </c>
      <c r="E55" s="145">
        <f t="shared" ref="E55:K55" si="6">SUM(E46:E53)</f>
        <v>0</v>
      </c>
      <c r="F55" s="145">
        <f t="shared" si="6"/>
        <v>0</v>
      </c>
      <c r="G55" s="145">
        <f t="shared" si="6"/>
        <v>0</v>
      </c>
      <c r="H55" s="145">
        <f t="shared" si="6"/>
        <v>0</v>
      </c>
      <c r="I55" s="145">
        <f t="shared" si="6"/>
        <v>0</v>
      </c>
      <c r="J55" s="145">
        <f t="shared" si="6"/>
        <v>0</v>
      </c>
      <c r="K55" s="145">
        <f t="shared" si="6"/>
        <v>0</v>
      </c>
      <c r="L55" s="691">
        <f>SUM(D55:INDEX(D55:K55,0,MATCH('RFPR cover'!$C$7,$D$6:$K$6,0)))</f>
        <v>0</v>
      </c>
      <c r="M55" s="692">
        <f t="shared" si="5"/>
        <v>0</v>
      </c>
    </row>
    <row r="56" spans="1:14">
      <c r="B56" s="861" t="s">
        <v>507</v>
      </c>
      <c r="C56" s="156" t="str">
        <f>'RFPR cover'!$C$14</f>
        <v>£m 12/13</v>
      </c>
      <c r="D56" s="145">
        <f>D55/D41</f>
        <v>0</v>
      </c>
      <c r="E56" s="145">
        <f t="shared" ref="E56:K56" si="7">E55/E41</f>
        <v>0</v>
      </c>
      <c r="F56" s="145">
        <f t="shared" si="7"/>
        <v>0</v>
      </c>
      <c r="G56" s="145">
        <f t="shared" si="7"/>
        <v>0</v>
      </c>
      <c r="H56" s="145">
        <f t="shared" si="7"/>
        <v>0</v>
      </c>
      <c r="I56" s="145">
        <f t="shared" si="7"/>
        <v>0</v>
      </c>
      <c r="J56" s="145">
        <f t="shared" si="7"/>
        <v>0</v>
      </c>
      <c r="K56" s="145">
        <f t="shared" si="7"/>
        <v>0</v>
      </c>
      <c r="L56" s="691">
        <f>SUM(D56:INDEX(D56:K56,0,MATCH('RFPR cover'!$C$7,$D$6:$K$6,0)))</f>
        <v>0</v>
      </c>
      <c r="M56" s="692">
        <f>SUM(D56:K56)</f>
        <v>0</v>
      </c>
    </row>
    <row r="57" spans="1:14">
      <c r="B57" s="213"/>
      <c r="C57" s="66"/>
      <c r="D57" s="809"/>
      <c r="E57" s="809"/>
      <c r="F57" s="809"/>
      <c r="G57" s="809"/>
      <c r="H57" s="809"/>
      <c r="I57" s="809"/>
      <c r="J57" s="809"/>
      <c r="K57" s="809"/>
      <c r="L57" s="832"/>
      <c r="M57" s="832"/>
    </row>
    <row r="58" spans="1:14" s="2" customFormat="1">
      <c r="A58" s="1"/>
    </row>
    <row r="59" spans="1:14" s="2" customFormat="1">
      <c r="A59" s="1"/>
      <c r="B59" s="833" t="s">
        <v>426</v>
      </c>
      <c r="C59" s="81"/>
      <c r="D59" s="81"/>
      <c r="E59" s="81"/>
      <c r="F59" s="81"/>
      <c r="G59" s="81"/>
      <c r="H59" s="81"/>
      <c r="I59" s="81"/>
      <c r="J59" s="81"/>
      <c r="K59" s="81"/>
      <c r="L59" s="81"/>
      <c r="M59" s="81"/>
      <c r="N59" s="81"/>
    </row>
    <row r="60" spans="1:14" s="2" customFormat="1">
      <c r="A60" s="1"/>
      <c r="B60" s="369" t="s">
        <v>427</v>
      </c>
    </row>
    <row r="61" spans="1:14" s="2" customFormat="1">
      <c r="A61" s="1"/>
    </row>
    <row r="62" spans="1:14" s="31" customFormat="1">
      <c r="B62" s="213" t="s">
        <v>115</v>
      </c>
      <c r="C62" s="155" t="s">
        <v>7</v>
      </c>
      <c r="D62" s="893">
        <f>'RFPR cover'!$C$12</f>
        <v>0.65</v>
      </c>
      <c r="E62" s="894">
        <f>'RFPR cover'!$C$12</f>
        <v>0.65</v>
      </c>
      <c r="F62" s="894">
        <f>'RFPR cover'!$C$12</f>
        <v>0.65</v>
      </c>
      <c r="G62" s="894">
        <f>'RFPR cover'!$C$12</f>
        <v>0.65</v>
      </c>
      <c r="H62" s="894">
        <f>'RFPR cover'!$C$12</f>
        <v>0.65</v>
      </c>
      <c r="I62" s="894">
        <f>'RFPR cover'!$C$12</f>
        <v>0.65</v>
      </c>
      <c r="J62" s="894">
        <f>'RFPR cover'!$C$12</f>
        <v>0.65</v>
      </c>
      <c r="K62" s="895">
        <f>'RFPR cover'!$C$12</f>
        <v>0.65</v>
      </c>
      <c r="N62" s="827"/>
    </row>
    <row r="63" spans="1:14" s="31" customFormat="1">
      <c r="B63" s="213" t="s">
        <v>389</v>
      </c>
      <c r="C63" s="155" t="s">
        <v>7</v>
      </c>
      <c r="D63" s="894">
        <f>'R8 - Net Debt'!D64</f>
        <v>0.62520388021837014</v>
      </c>
      <c r="E63" s="894">
        <f>'R8 - Net Debt'!E64</f>
        <v>0.61519194933461074</v>
      </c>
      <c r="F63" s="894">
        <f>'R8 - Net Debt'!F64</f>
        <v>0.61780165382103691</v>
      </c>
      <c r="G63" s="894">
        <f>'R8 - Net Debt'!G64</f>
        <v>0.61817938342853096</v>
      </c>
      <c r="H63" s="894">
        <f>'R8 - Net Debt'!H64</f>
        <v>0.6212944625142337</v>
      </c>
      <c r="I63" s="894">
        <f>'R8 - Net Debt'!I64</f>
        <v>0.63343448829325744</v>
      </c>
      <c r="J63" s="894">
        <f>'R8 - Net Debt'!J64</f>
        <v>0.64469842540770417</v>
      </c>
      <c r="K63" s="895">
        <f>'R8 - Net Debt'!K64</f>
        <v>0.64930889502734646</v>
      </c>
      <c r="N63" s="827"/>
    </row>
    <row r="64" spans="1:14" s="31" customFormat="1">
      <c r="B64" s="213"/>
      <c r="C64" s="155"/>
      <c r="D64" s="155"/>
      <c r="E64" s="155"/>
      <c r="F64" s="155"/>
      <c r="G64" s="155"/>
      <c r="H64" s="155"/>
      <c r="I64" s="155"/>
      <c r="J64" s="155"/>
      <c r="K64" s="155"/>
      <c r="N64" s="827"/>
    </row>
    <row r="65" spans="2:15">
      <c r="B65" s="213" t="s">
        <v>416</v>
      </c>
      <c r="C65" s="152" t="s">
        <v>128</v>
      </c>
      <c r="D65" s="95">
        <f t="shared" ref="D65:K65" si="8">D39</f>
        <v>28.40269259390562</v>
      </c>
      <c r="E65" s="96">
        <f t="shared" si="8"/>
        <v>16.806816403464367</v>
      </c>
      <c r="F65" s="96">
        <f t="shared" si="8"/>
        <v>-3.0388231595895121</v>
      </c>
      <c r="G65" s="96">
        <f t="shared" si="8"/>
        <v>2.7899299733464957</v>
      </c>
      <c r="H65" s="96">
        <f t="shared" si="8"/>
        <v>9.40917766720451</v>
      </c>
      <c r="I65" s="96">
        <f t="shared" si="8"/>
        <v>21.900070948377568</v>
      </c>
      <c r="J65" s="96">
        <f t="shared" si="8"/>
        <v>3.3560311736456683</v>
      </c>
      <c r="K65" s="97">
        <f t="shared" si="8"/>
        <v>-3.4261458028526164</v>
      </c>
      <c r="L65" s="31"/>
      <c r="M65" s="31"/>
    </row>
    <row r="66" spans="2:15" s="31" customFormat="1">
      <c r="B66" s="213" t="s">
        <v>434</v>
      </c>
      <c r="C66" s="152" t="s">
        <v>128</v>
      </c>
      <c r="D66" s="95">
        <f>((D62-D63)/D63)*D65</f>
        <v>1.1264750427225547</v>
      </c>
      <c r="E66" s="95">
        <f t="shared" ref="E66:K66" si="9">((E62-E63)/E63)*E65</f>
        <v>0.95094306342667623</v>
      </c>
      <c r="F66" s="95">
        <f t="shared" si="9"/>
        <v>-0.15837620288639931</v>
      </c>
      <c r="G66" s="95">
        <f t="shared" si="9"/>
        <v>0.14361089082384687</v>
      </c>
      <c r="H66" s="95">
        <f t="shared" si="9"/>
        <v>0.43473025840784241</v>
      </c>
      <c r="I66" s="95">
        <f t="shared" si="9"/>
        <v>0.57272833793963707</v>
      </c>
      <c r="J66" s="95">
        <f t="shared" si="9"/>
        <v>2.7597786654901441E-2</v>
      </c>
      <c r="K66" s="95">
        <f t="shared" si="9"/>
        <v>-3.6466871461661799E-3</v>
      </c>
      <c r="N66" s="827"/>
    </row>
    <row r="67" spans="2:15">
      <c r="B67" s="213" t="s">
        <v>433</v>
      </c>
      <c r="C67" s="152" t="s">
        <v>128</v>
      </c>
      <c r="D67" s="102">
        <f>SUM(D65:D66)</f>
        <v>29.529167636628173</v>
      </c>
      <c r="E67" s="103">
        <f t="shared" ref="E67:K67" si="10">SUM(E65:E66)</f>
        <v>17.757759466891045</v>
      </c>
      <c r="F67" s="103">
        <f t="shared" si="10"/>
        <v>-3.1971993624759114</v>
      </c>
      <c r="G67" s="103">
        <f t="shared" si="10"/>
        <v>2.9335408641703427</v>
      </c>
      <c r="H67" s="103">
        <f t="shared" si="10"/>
        <v>9.8439079256123527</v>
      </c>
      <c r="I67" s="103">
        <f t="shared" si="10"/>
        <v>22.472799286317205</v>
      </c>
      <c r="J67" s="103">
        <f t="shared" si="10"/>
        <v>3.3836289603005696</v>
      </c>
      <c r="K67" s="104">
        <f t="shared" si="10"/>
        <v>-3.4297924899987824</v>
      </c>
      <c r="L67" s="31"/>
      <c r="M67" s="31"/>
    </row>
    <row r="68" spans="2:15">
      <c r="B68" s="213"/>
      <c r="C68" s="152"/>
      <c r="D68" s="152"/>
      <c r="E68" s="152"/>
      <c r="F68" s="152"/>
      <c r="G68" s="152"/>
      <c r="H68" s="152"/>
      <c r="I68" s="152"/>
      <c r="J68" s="152"/>
      <c r="K68" s="152"/>
      <c r="L68" s="152"/>
      <c r="M68" s="152"/>
      <c r="N68" s="152"/>
      <c r="O68" s="152"/>
    </row>
    <row r="69" spans="2:15">
      <c r="B69" s="837" t="s">
        <v>433</v>
      </c>
      <c r="C69" s="156" t="str">
        <f>'RFPR cover'!$C$14</f>
        <v>£m 12/13</v>
      </c>
      <c r="D69" s="145">
        <f t="shared" ref="D69:K69" si="11">D67/D41</f>
        <v>27.849383430373155</v>
      </c>
      <c r="E69" s="146">
        <f t="shared" si="11"/>
        <v>16.396267802656556</v>
      </c>
      <c r="F69" s="146">
        <f t="shared" si="11"/>
        <v>-2.8455874474871363</v>
      </c>
      <c r="G69" s="146">
        <f t="shared" si="11"/>
        <v>2.5335116231835269</v>
      </c>
      <c r="H69" s="146">
        <f t="shared" si="11"/>
        <v>8.2870272421026634</v>
      </c>
      <c r="I69" s="146">
        <f t="shared" si="11"/>
        <v>18.691894046616412</v>
      </c>
      <c r="J69" s="146">
        <f t="shared" si="11"/>
        <v>2.7416999072285573</v>
      </c>
      <c r="K69" s="147">
        <f t="shared" si="11"/>
        <v>-2.6961973998428626</v>
      </c>
      <c r="L69" s="691">
        <f>SUM(D69:INDEX(D69:K69,0,MATCH('RFPR cover'!$C$7,$D$6:$K$6,0)))</f>
        <v>70.912496697445178</v>
      </c>
      <c r="M69" s="692">
        <f>SUM(D69:K69)</f>
        <v>70.95799920483087</v>
      </c>
    </row>
    <row r="70" spans="2:15">
      <c r="B70" s="372" t="s">
        <v>508</v>
      </c>
      <c r="C70" s="159" t="str">
        <f>'RFPR cover'!$C$14</f>
        <v>£m 12/13</v>
      </c>
      <c r="D70" s="95">
        <f>D56*((D62-D63)/D63)+D56</f>
        <v>0</v>
      </c>
      <c r="E70" s="95">
        <f t="shared" ref="E70:K70" si="12">E56*((E62-E63)/E63)+E56</f>
        <v>0</v>
      </c>
      <c r="F70" s="95">
        <f t="shared" si="12"/>
        <v>0</v>
      </c>
      <c r="G70" s="95">
        <f t="shared" si="12"/>
        <v>0</v>
      </c>
      <c r="H70" s="95">
        <f t="shared" si="12"/>
        <v>0</v>
      </c>
      <c r="I70" s="95">
        <f t="shared" si="12"/>
        <v>0</v>
      </c>
      <c r="J70" s="95">
        <f t="shared" si="12"/>
        <v>0</v>
      </c>
      <c r="K70" s="95">
        <f t="shared" si="12"/>
        <v>0</v>
      </c>
      <c r="L70" s="687">
        <f>SUM(D70:INDEX(D70:K70,0,MATCH('RFPR cover'!$C$7,$D$6:$K$6,0)))</f>
        <v>0</v>
      </c>
      <c r="M70" s="688">
        <f>SUM(D70:K70)</f>
        <v>0</v>
      </c>
      <c r="N70" s="155"/>
    </row>
    <row r="72" spans="2:15">
      <c r="B72" s="829" t="s">
        <v>316</v>
      </c>
      <c r="C72" s="830"/>
      <c r="D72" s="830"/>
      <c r="E72" s="830"/>
      <c r="F72" s="830"/>
      <c r="G72" s="830"/>
      <c r="H72" s="830"/>
      <c r="I72" s="830"/>
      <c r="J72" s="830"/>
      <c r="K72" s="830"/>
      <c r="L72" s="830"/>
      <c r="M72" s="830"/>
      <c r="N72" s="830"/>
      <c r="O72" s="155"/>
    </row>
    <row r="73" spans="2:15" s="31" customFormat="1">
      <c r="B73" s="831"/>
      <c r="C73" s="66"/>
      <c r="D73" s="66"/>
      <c r="E73" s="66"/>
      <c r="F73" s="66"/>
      <c r="G73" s="66"/>
      <c r="H73" s="66"/>
      <c r="I73" s="66"/>
      <c r="J73" s="66"/>
      <c r="K73" s="66"/>
      <c r="L73" s="66"/>
      <c r="M73" s="66"/>
      <c r="N73" s="66"/>
      <c r="O73" s="66"/>
    </row>
    <row r="74" spans="2:15">
      <c r="B74" s="369" t="s">
        <v>463</v>
      </c>
      <c r="C74" s="368"/>
      <c r="D74" s="368"/>
      <c r="E74" s="368"/>
      <c r="F74" s="368"/>
      <c r="G74" s="368"/>
      <c r="H74" s="368"/>
      <c r="I74" s="368"/>
      <c r="J74" s="368"/>
      <c r="K74" s="368"/>
      <c r="L74" s="368"/>
      <c r="M74" s="368"/>
      <c r="N74" s="368"/>
      <c r="O74" s="155"/>
    </row>
    <row r="75" spans="2:15">
      <c r="B75" s="369" t="s">
        <v>345</v>
      </c>
      <c r="C75" s="368"/>
      <c r="D75" s="368"/>
      <c r="E75" s="368"/>
      <c r="F75" s="368"/>
      <c r="G75" s="368"/>
      <c r="H75" s="368"/>
      <c r="I75" s="368"/>
      <c r="J75" s="368"/>
      <c r="K75" s="368"/>
      <c r="L75" s="368"/>
      <c r="M75" s="368"/>
      <c r="N75" s="368"/>
      <c r="O75" s="155"/>
    </row>
    <row r="76" spans="2:15">
      <c r="B76" s="369" t="s">
        <v>346</v>
      </c>
      <c r="C76" s="368"/>
      <c r="D76" s="368"/>
      <c r="E76" s="368"/>
      <c r="F76" s="368"/>
      <c r="G76" s="368"/>
      <c r="H76" s="368"/>
      <c r="I76" s="368"/>
      <c r="J76" s="368"/>
      <c r="K76" s="368"/>
      <c r="L76" s="368"/>
      <c r="M76" s="368"/>
      <c r="N76" s="368"/>
      <c r="O76" s="155"/>
    </row>
    <row r="77" spans="2:15">
      <c r="B77" s="369" t="s">
        <v>514</v>
      </c>
      <c r="C77" s="368"/>
      <c r="D77" s="368"/>
      <c r="E77" s="368"/>
      <c r="F77" s="368"/>
      <c r="G77" s="368"/>
      <c r="H77" s="368"/>
      <c r="I77" s="368"/>
      <c r="J77" s="368"/>
      <c r="K77" s="368"/>
      <c r="L77" s="368"/>
      <c r="M77" s="368"/>
      <c r="N77" s="368"/>
      <c r="O77" s="155"/>
    </row>
    <row r="78" spans="2:15" s="31" customFormat="1">
      <c r="B78" s="373"/>
      <c r="C78" s="373"/>
      <c r="D78" s="373"/>
      <c r="E78" s="373"/>
      <c r="F78" s="373"/>
      <c r="G78" s="373"/>
      <c r="H78" s="373"/>
      <c r="I78" s="373"/>
      <c r="J78" s="373"/>
      <c r="K78" s="373"/>
      <c r="L78" s="373"/>
      <c r="M78" s="373"/>
      <c r="N78" s="373"/>
      <c r="O78" s="66"/>
    </row>
    <row r="79" spans="2:15">
      <c r="B79" s="372" t="s">
        <v>232</v>
      </c>
      <c r="C79" s="155" t="str">
        <f>'RFPR cover'!$C$14</f>
        <v>£m 12/13</v>
      </c>
      <c r="D79" s="599">
        <v>24.906242004950435</v>
      </c>
      <c r="E79" s="599">
        <v>23.918386547887007</v>
      </c>
      <c r="F79" s="599">
        <v>22.929642278625675</v>
      </c>
      <c r="G79" s="599">
        <v>21.220716860004629</v>
      </c>
      <c r="H79" s="599">
        <v>19.938467268091514</v>
      </c>
      <c r="I79" s="599">
        <v>18.389699581198169</v>
      </c>
      <c r="J79" s="902">
        <v>16.706101573958893</v>
      </c>
      <c r="K79" s="905"/>
      <c r="L79" s="903"/>
      <c r="M79" s="903"/>
      <c r="O79" s="66"/>
    </row>
    <row r="80" spans="2:15">
      <c r="B80" s="372" t="s">
        <v>315</v>
      </c>
      <c r="C80" s="155" t="str">
        <f>'RFPR cover'!$C$14</f>
        <v>£m 12/13</v>
      </c>
      <c r="D80" s="689">
        <f>'R9 - RAV'!D49</f>
        <v>24.827313418320202</v>
      </c>
      <c r="E80" s="690">
        <f>'R9 - RAV'!E49</f>
        <v>23.744057421085838</v>
      </c>
      <c r="F80" s="690">
        <f>'R9 - RAV'!F49</f>
        <v>22.720210104708347</v>
      </c>
      <c r="G80" s="690">
        <f>'R9 - RAV'!G49</f>
        <v>21.074406023614102</v>
      </c>
      <c r="H80" s="690">
        <f>'R9 - RAV'!H49</f>
        <v>19.92324672043528</v>
      </c>
      <c r="I80" s="690">
        <f>'R9 - RAV'!I49</f>
        <v>18.477464524811595</v>
      </c>
      <c r="J80" s="690">
        <f>'R9 - RAV'!J49</f>
        <v>16.900304841580947</v>
      </c>
      <c r="K80" s="904">
        <f>'R9 - RAV'!K49</f>
        <v>15.414401283951225</v>
      </c>
      <c r="L80" s="906">
        <f>SUM(D80:INDEX(D80:K80,0,MATCH('RFPR cover'!$C$7,$D$6:$K$6,0)))</f>
        <v>130.76669821297537</v>
      </c>
      <c r="M80" s="906">
        <f>SUM(D80:K80)</f>
        <v>163.08140433850755</v>
      </c>
      <c r="O80" s="66"/>
    </row>
    <row r="81" spans="2:15" s="31" customFormat="1">
      <c r="B81" s="834"/>
      <c r="C81" s="66"/>
      <c r="D81" s="835"/>
      <c r="E81" s="835"/>
      <c r="F81" s="835"/>
      <c r="G81" s="835"/>
      <c r="H81" s="835"/>
      <c r="I81" s="835"/>
      <c r="J81" s="835"/>
      <c r="K81" s="835"/>
      <c r="L81" s="832"/>
      <c r="M81" s="832"/>
      <c r="O81" s="66"/>
    </row>
    <row r="82" spans="2:15" s="31" customFormat="1">
      <c r="B82" s="834"/>
      <c r="C82" s="66"/>
      <c r="D82" s="835"/>
      <c r="E82" s="836"/>
      <c r="F82" s="836"/>
      <c r="G82" s="836"/>
      <c r="H82" s="836"/>
      <c r="I82" s="836"/>
      <c r="J82" s="836"/>
      <c r="K82" s="836"/>
      <c r="L82" s="832"/>
      <c r="M82" s="832"/>
      <c r="O82" s="66"/>
    </row>
    <row r="83" spans="2:15">
      <c r="B83" s="838" t="s">
        <v>417</v>
      </c>
      <c r="C83" s="830"/>
      <c r="D83" s="830"/>
      <c r="E83" s="830"/>
      <c r="F83" s="830"/>
      <c r="G83" s="830"/>
      <c r="H83" s="830"/>
      <c r="I83" s="830"/>
      <c r="J83" s="830"/>
      <c r="K83" s="830"/>
      <c r="L83" s="830"/>
      <c r="M83" s="830"/>
      <c r="N83" s="830"/>
    </row>
    <row r="84" spans="2:15">
      <c r="B84" s="372"/>
      <c r="C84" s="155"/>
      <c r="D84" s="155"/>
      <c r="E84" s="155"/>
      <c r="F84" s="155"/>
      <c r="G84" s="155"/>
      <c r="H84" s="155"/>
      <c r="I84" s="155"/>
      <c r="J84" s="155"/>
      <c r="K84" s="155"/>
      <c r="L84" s="155"/>
      <c r="M84" s="155"/>
      <c r="N84" s="155"/>
    </row>
    <row r="85" spans="2:15">
      <c r="B85" s="856" t="s">
        <v>471</v>
      </c>
      <c r="C85" s="155"/>
      <c r="D85" s="155"/>
      <c r="E85" s="155"/>
      <c r="F85" s="155"/>
      <c r="G85" s="155"/>
      <c r="H85" s="155"/>
      <c r="I85" s="155"/>
      <c r="J85" s="155"/>
      <c r="K85" s="155"/>
      <c r="L85" s="155"/>
      <c r="M85" s="155"/>
      <c r="N85" s="155"/>
    </row>
    <row r="86" spans="2:15">
      <c r="B86" s="213" t="s">
        <v>472</v>
      </c>
      <c r="C86" s="155" t="str">
        <f>'RFPR cover'!$C$14</f>
        <v>£m 12/13</v>
      </c>
      <c r="D86" s="145">
        <f>D80-D43-D56</f>
        <v>-1.9596751699236137</v>
      </c>
      <c r="E86" s="145">
        <f t="shared" ref="E86:K86" si="13">E80-E43-E56</f>
        <v>8.2258236498110691</v>
      </c>
      <c r="F86" s="145">
        <f t="shared" si="13"/>
        <v>25.424838768015938</v>
      </c>
      <c r="G86" s="145">
        <f t="shared" si="13"/>
        <v>18.664921941877779</v>
      </c>
      <c r="H86" s="145">
        <f t="shared" si="13"/>
        <v>12.002194203169147</v>
      </c>
      <c r="I86" s="145">
        <f t="shared" si="13"/>
        <v>0.26194092381120626</v>
      </c>
      <c r="J86" s="145">
        <f t="shared" si="13"/>
        <v>14.180966975226026</v>
      </c>
      <c r="K86" s="145">
        <f t="shared" si="13"/>
        <v>18.107731983132108</v>
      </c>
      <c r="L86" s="691">
        <f>SUM(D86:INDEX(D86:K86,0,MATCH('RFPR cover'!$C$7,$D$6:$K$6,0)))</f>
        <v>62.620044316761522</v>
      </c>
      <c r="M86" s="692">
        <f>SUM(D86:K86)</f>
        <v>94.908743275119662</v>
      </c>
    </row>
    <row r="87" spans="2:15">
      <c r="B87" s="213"/>
    </row>
    <row r="88" spans="2:15">
      <c r="B88" s="213" t="s">
        <v>473</v>
      </c>
      <c r="C88" s="155" t="str">
        <f>'RFPR cover'!$C$14</f>
        <v>£m 12/13</v>
      </c>
      <c r="D88" s="145">
        <f>D80-D69-D70</f>
        <v>-3.0220700120529536</v>
      </c>
      <c r="E88" s="145">
        <f t="shared" ref="E88:K88" si="14">E80-E69-E70</f>
        <v>7.3477896184292817</v>
      </c>
      <c r="F88" s="145">
        <f t="shared" si="14"/>
        <v>25.565797552195484</v>
      </c>
      <c r="G88" s="145">
        <f t="shared" si="14"/>
        <v>18.540894400430574</v>
      </c>
      <c r="H88" s="145">
        <f t="shared" si="14"/>
        <v>11.636219478332617</v>
      </c>
      <c r="I88" s="145">
        <f t="shared" si="14"/>
        <v>-0.21442952180481711</v>
      </c>
      <c r="J88" s="145">
        <f t="shared" si="14"/>
        <v>14.15860493435239</v>
      </c>
      <c r="K88" s="145">
        <f t="shared" si="14"/>
        <v>18.110598683794088</v>
      </c>
      <c r="L88" s="691">
        <f>SUM(D88:INDEX(D88:K88,0,MATCH('RFPR cover'!$C$7,$D$6:$K$6,0)))</f>
        <v>59.854201515530193</v>
      </c>
      <c r="M88" s="692">
        <f>SUM(D88:K88)</f>
        <v>92.12340513367667</v>
      </c>
    </row>
    <row r="89" spans="2:15">
      <c r="B89" s="213"/>
    </row>
    <row r="90" spans="2:15">
      <c r="B90" s="213" t="s">
        <v>474</v>
      </c>
      <c r="C90" s="155" t="str">
        <f>'RFPR cover'!$C$14</f>
        <v>£m 12/13</v>
      </c>
      <c r="D90" s="145">
        <f t="shared" ref="D90:K90" si="15">D86-D88</f>
        <v>1.0623948421293399</v>
      </c>
      <c r="E90" s="145">
        <f t="shared" si="15"/>
        <v>0.87803403138178737</v>
      </c>
      <c r="F90" s="145">
        <f t="shared" si="15"/>
        <v>-0.14095878417954566</v>
      </c>
      <c r="G90" s="145">
        <f t="shared" si="15"/>
        <v>0.12402754144720518</v>
      </c>
      <c r="H90" s="145">
        <f t="shared" si="15"/>
        <v>0.36597472483652993</v>
      </c>
      <c r="I90" s="145">
        <f t="shared" si="15"/>
        <v>0.47637044561602337</v>
      </c>
      <c r="J90" s="145">
        <f t="shared" si="15"/>
        <v>2.2362040873636246E-2</v>
      </c>
      <c r="K90" s="145">
        <f t="shared" si="15"/>
        <v>-2.866700661979138E-3</v>
      </c>
      <c r="L90" s="691">
        <f>SUM(D90:INDEX(D90:K90,0,MATCH('RFPR cover'!$C$7,$D$6:$K$6,0)))</f>
        <v>2.7658428012313401</v>
      </c>
      <c r="M90" s="692">
        <f>SUM(D90:K90)</f>
        <v>2.7853381414429972</v>
      </c>
    </row>
    <row r="91" spans="2:15">
      <c r="B91" s="200"/>
    </row>
    <row r="94" spans="2:15">
      <c r="B94" s="14" t="s">
        <v>574</v>
      </c>
    </row>
    <row r="95" spans="2:15">
      <c r="B95" s="838" t="s">
        <v>417</v>
      </c>
      <c r="C95" s="830"/>
      <c r="D95" s="830"/>
      <c r="E95" s="830"/>
      <c r="F95" s="830"/>
      <c r="G95" s="830"/>
      <c r="H95" s="830"/>
      <c r="I95" s="830"/>
      <c r="J95" s="830"/>
      <c r="K95" s="830"/>
      <c r="L95" s="830"/>
      <c r="M95" s="830"/>
      <c r="N95" s="830"/>
    </row>
    <row r="96" spans="2:15">
      <c r="B96" s="372"/>
      <c r="C96" s="155"/>
      <c r="D96" s="155"/>
      <c r="E96" s="155"/>
      <c r="F96" s="155"/>
      <c r="G96" s="155"/>
      <c r="H96" s="155"/>
      <c r="I96" s="155"/>
      <c r="J96" s="155"/>
      <c r="K96" s="155"/>
      <c r="L96" s="155"/>
      <c r="M96" s="155"/>
      <c r="N96" s="155"/>
    </row>
    <row r="97" spans="2:14">
      <c r="B97" s="856" t="s">
        <v>471</v>
      </c>
      <c r="C97" s="155"/>
      <c r="D97" s="155"/>
      <c r="E97" s="155"/>
      <c r="F97" s="155"/>
      <c r="G97" s="155"/>
      <c r="H97" s="155"/>
      <c r="I97" s="155"/>
      <c r="J97" s="155"/>
      <c r="K97" s="155"/>
      <c r="L97" s="155"/>
      <c r="M97" s="155"/>
      <c r="N97" s="155"/>
    </row>
    <row r="98" spans="2:14">
      <c r="B98" s="213" t="s">
        <v>472</v>
      </c>
      <c r="C98" s="155" t="s">
        <v>158</v>
      </c>
      <c r="D98" s="145">
        <f t="shared" ref="D98:K98" si="16">D80-D56-(D30/D41)</f>
        <v>-12.237082784167526</v>
      </c>
      <c r="E98" s="145">
        <f t="shared" si="16"/>
        <v>-12.081137301773712</v>
      </c>
      <c r="F98" s="145">
        <f t="shared" si="16"/>
        <v>-10.434368700280952</v>
      </c>
      <c r="G98" s="145">
        <f t="shared" si="16"/>
        <v>-11.09393509195359</v>
      </c>
      <c r="H98" s="145">
        <f t="shared" si="16"/>
        <v>-13.743835000228799</v>
      </c>
      <c r="I98" s="145">
        <f>I80-I56-(I30/I41)</f>
        <v>-12.272607803707096</v>
      </c>
      <c r="J98" s="145">
        <f t="shared" si="16"/>
        <v>-13.758397912921012</v>
      </c>
      <c r="K98" s="145">
        <f t="shared" si="16"/>
        <v>-14.631300757702494</v>
      </c>
      <c r="L98" s="691">
        <f>SUM(D98:INDEX(D98:K98,0,MATCH('RFPR cover'!$C$7,$D$6:$K$6,0)))</f>
        <v>-71.862966682111676</v>
      </c>
      <c r="M98" s="692">
        <f>SUM(D98:K98)</f>
        <v>-100.25266535273518</v>
      </c>
    </row>
    <row r="99" spans="2:14">
      <c r="B99" s="213"/>
    </row>
    <row r="100" spans="2:14">
      <c r="B100" s="213" t="s">
        <v>473</v>
      </c>
      <c r="C100" s="155" t="s">
        <v>158</v>
      </c>
      <c r="D100" s="145">
        <f t="shared" ref="D100:K100" si="17">D80-D110</f>
        <v>-13.707088388658761</v>
      </c>
      <c r="E100" s="145">
        <f t="shared" si="17"/>
        <v>-14.108155363956566</v>
      </c>
      <c r="F100" s="145">
        <f t="shared" si="17"/>
        <v>-12.162306136476293</v>
      </c>
      <c r="G100" s="145">
        <f t="shared" si="17"/>
        <v>-12.749791750746617</v>
      </c>
      <c r="H100" s="145">
        <f t="shared" si="17"/>
        <v>-15.299348101790912</v>
      </c>
      <c r="I100" s="145">
        <f t="shared" si="17"/>
        <v>-13.076780441218155</v>
      </c>
      <c r="J100" s="145">
        <f t="shared" si="17"/>
        <v>-14.010514861172016</v>
      </c>
      <c r="K100" s="145">
        <f t="shared" si="17"/>
        <v>-14.663280504548528</v>
      </c>
      <c r="L100" s="691">
        <f>SUM(D100:INDEX(D100:K100,0,MATCH('RFPR cover'!$C$7,$D$6:$K$6,0)))</f>
        <v>-81.103470182847303</v>
      </c>
      <c r="M100" s="692">
        <f>SUM(D100:K100)</f>
        <v>-109.77726554856784</v>
      </c>
    </row>
    <row r="101" spans="2:14">
      <c r="B101" s="213"/>
    </row>
    <row r="102" spans="2:14">
      <c r="B102" s="213" t="s">
        <v>474</v>
      </c>
      <c r="C102" s="155" t="s">
        <v>158</v>
      </c>
      <c r="D102" s="145">
        <f>D98-D100</f>
        <v>1.4700056044912344</v>
      </c>
      <c r="E102" s="145">
        <f t="shared" ref="E102:K102" si="18">E98-E100</f>
        <v>2.0270180621828544</v>
      </c>
      <c r="F102" s="145">
        <f t="shared" si="18"/>
        <v>1.7279374361953401</v>
      </c>
      <c r="G102" s="145">
        <f t="shared" si="18"/>
        <v>1.6558566587930272</v>
      </c>
      <c r="H102" s="145">
        <f t="shared" si="18"/>
        <v>1.5555131015621129</v>
      </c>
      <c r="I102" s="145">
        <f t="shared" si="18"/>
        <v>0.8041726375110585</v>
      </c>
      <c r="J102" s="145">
        <f t="shared" si="18"/>
        <v>0.25211694825100395</v>
      </c>
      <c r="K102" s="145">
        <f t="shared" si="18"/>
        <v>3.1979746846033663E-2</v>
      </c>
      <c r="L102" s="691">
        <f>SUM(D102:INDEX(D102:K102,0,MATCH('RFPR cover'!$C$7,$D$6:$K$6,0)))</f>
        <v>9.2405035007356275</v>
      </c>
      <c r="M102" s="692">
        <f>SUM(D102:K102)</f>
        <v>9.5246001958326652</v>
      </c>
    </row>
    <row r="103" spans="2:14">
      <c r="B103" s="200"/>
    </row>
    <row r="104" spans="2:14">
      <c r="B104" s="200"/>
    </row>
    <row r="107" spans="2:14">
      <c r="B107" s="213" t="s">
        <v>416</v>
      </c>
      <c r="C107" s="152" t="s">
        <v>128</v>
      </c>
      <c r="D107" s="95">
        <f t="shared" ref="D107:K107" si="19">D30</f>
        <v>39.29999999999999</v>
      </c>
      <c r="E107" s="96">
        <f t="shared" si="19"/>
        <v>38.799999999999997</v>
      </c>
      <c r="F107" s="96">
        <f t="shared" si="19"/>
        <v>37.251288239999994</v>
      </c>
      <c r="G107" s="96">
        <f t="shared" si="19"/>
        <v>37.247566710000001</v>
      </c>
      <c r="H107" s="96">
        <f t="shared" si="19"/>
        <v>39.992103669999999</v>
      </c>
      <c r="I107" s="96">
        <f t="shared" si="19"/>
        <v>36.970047109999996</v>
      </c>
      <c r="J107" s="96">
        <f t="shared" si="19"/>
        <v>37.836990931017951</v>
      </c>
      <c r="K107" s="97">
        <f t="shared" si="19"/>
        <v>38.220689340183661</v>
      </c>
    </row>
    <row r="108" spans="2:14">
      <c r="B108" s="213" t="s">
        <v>434</v>
      </c>
      <c r="C108" s="152" t="s">
        <v>128</v>
      </c>
      <c r="D108" s="95">
        <f t="shared" ref="D108:K108" si="20">((D62-D63)/D63)*D107</f>
        <v>1.5586715601919914</v>
      </c>
      <c r="E108" s="95">
        <f t="shared" si="20"/>
        <v>2.1953349150258812</v>
      </c>
      <c r="F108" s="95">
        <f t="shared" si="20"/>
        <v>1.9414481443121951</v>
      </c>
      <c r="G108" s="95">
        <f t="shared" si="20"/>
        <v>1.9173084225578247</v>
      </c>
      <c r="H108" s="95">
        <f t="shared" si="20"/>
        <v>1.8477467614763066</v>
      </c>
      <c r="I108" s="95">
        <f t="shared" si="20"/>
        <v>0.96683675978816896</v>
      </c>
      <c r="J108" s="95">
        <f t="shared" si="20"/>
        <v>0.31114645524681983</v>
      </c>
      <c r="K108" s="95">
        <f t="shared" si="20"/>
        <v>4.0680958883422685E-2</v>
      </c>
    </row>
    <row r="109" spans="2:14">
      <c r="B109" s="213" t="s">
        <v>433</v>
      </c>
      <c r="C109" s="152" t="s">
        <v>128</v>
      </c>
      <c r="D109" s="102">
        <f>SUM(D107:D108)</f>
        <v>40.858671560191979</v>
      </c>
      <c r="E109" s="103">
        <f t="shared" ref="E109:K109" si="21">SUM(E107:E108)</f>
        <v>40.995334915025879</v>
      </c>
      <c r="F109" s="103">
        <f t="shared" si="21"/>
        <v>39.192736384312191</v>
      </c>
      <c r="G109" s="103">
        <f t="shared" si="21"/>
        <v>39.164875132557825</v>
      </c>
      <c r="H109" s="103">
        <f t="shared" si="21"/>
        <v>41.839850431476307</v>
      </c>
      <c r="I109" s="103">
        <f t="shared" si="21"/>
        <v>37.936883869788161</v>
      </c>
      <c r="J109" s="103">
        <f t="shared" si="21"/>
        <v>38.148137386264771</v>
      </c>
      <c r="K109" s="104">
        <f t="shared" si="21"/>
        <v>38.261370299067082</v>
      </c>
    </row>
    <row r="110" spans="2:14">
      <c r="B110" s="213" t="s">
        <v>433</v>
      </c>
      <c r="C110" s="155" t="s">
        <v>158</v>
      </c>
      <c r="D110" s="102">
        <f t="shared" ref="D110:K110" si="22">D109/D41</f>
        <v>38.534401806978963</v>
      </c>
      <c r="E110" s="103">
        <f t="shared" si="22"/>
        <v>37.852212785042404</v>
      </c>
      <c r="F110" s="103">
        <f t="shared" si="22"/>
        <v>34.882516241184639</v>
      </c>
      <c r="G110" s="103">
        <f t="shared" si="22"/>
        <v>33.824197774360719</v>
      </c>
      <c r="H110" s="103">
        <f t="shared" si="22"/>
        <v>35.222594822226192</v>
      </c>
      <c r="I110" s="103">
        <f t="shared" si="22"/>
        <v>31.554244966029749</v>
      </c>
      <c r="J110" s="103">
        <f t="shared" si="22"/>
        <v>30.910819702752963</v>
      </c>
      <c r="K110" s="104">
        <f t="shared" si="22"/>
        <v>30.077681788499753</v>
      </c>
    </row>
  </sheetData>
  <conditionalFormatting sqref="D6:K6">
    <cfRule type="expression" dxfId="41" priority="22">
      <formula>AND(D$5="Actuals",E$5="Forecast")</formula>
    </cfRule>
  </conditionalFormatting>
  <conditionalFormatting sqref="D5:K5">
    <cfRule type="expression" dxfId="40" priority="15">
      <formula>AND(D$5="Actuals",E$5="Forecast")</formula>
    </cfRule>
  </conditionalFormatting>
  <conditionalFormatting sqref="D29:G29 I29">
    <cfRule type="expression" dxfId="39" priority="13">
      <formula>D$5="Forecast"</formula>
    </cfRule>
    <cfRule type="expression" dxfId="38" priority="14">
      <formula>D$5="Actuals"</formula>
    </cfRule>
  </conditionalFormatting>
  <conditionalFormatting sqref="D47:G47">
    <cfRule type="expression" dxfId="37" priority="7">
      <formula>D$5="Forecast"</formula>
    </cfRule>
    <cfRule type="expression" dxfId="36" priority="8">
      <formula>D$5="Actuals"</formula>
    </cfRule>
  </conditionalFormatting>
  <conditionalFormatting sqref="I47:K47">
    <cfRule type="expression" dxfId="35" priority="5">
      <formula>I$5="Forecast"</formula>
    </cfRule>
    <cfRule type="expression" dxfId="34" priority="6">
      <formula>I$5="Actuals"</formula>
    </cfRule>
  </conditionalFormatting>
  <conditionalFormatting sqref="H47">
    <cfRule type="expression" dxfId="33" priority="3">
      <formula>H$5="Forecast"</formula>
    </cfRule>
    <cfRule type="expression" dxfId="32" priority="4">
      <formula>H$5="Actuals"</formula>
    </cfRule>
  </conditionalFormatting>
  <conditionalFormatting sqref="H29">
    <cfRule type="expression" dxfId="31" priority="1">
      <formula>H$5="Forecast"</formula>
    </cfRule>
    <cfRule type="expression" dxfId="30" priority="2">
      <formula>H$5="Actuals"</formula>
    </cfRule>
  </conditionalFormatting>
  <pageMargins left="0.70866141732283472" right="0.70866141732283472" top="0.74803149606299213" bottom="0.74803149606299213" header="0.31496062992125984" footer="0.31496062992125984"/>
  <pageSetup paperSize="8" scale="63" orientation="landscape" r:id="rId1"/>
  <headerFooter>
    <oddFooter>&amp;C&amp;1#&amp;"Calibri"&amp;12&amp;K008000Internal Use</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912" t="s">
        <v>236</v>
      </c>
      <c r="B1" s="922"/>
      <c r="C1" s="256"/>
      <c r="D1" s="256"/>
      <c r="E1" s="256"/>
      <c r="F1" s="256"/>
      <c r="G1" s="256"/>
      <c r="H1" s="256"/>
      <c r="I1" s="257"/>
      <c r="J1" s="257"/>
      <c r="K1" s="258"/>
      <c r="L1" s="364"/>
    </row>
    <row r="2" spans="1:12" s="31" customFormat="1" ht="20.25">
      <c r="A2" s="915" t="str">
        <f>'RFPR cover'!C5</f>
        <v>SPD</v>
      </c>
      <c r="B2" s="907"/>
      <c r="C2" s="29"/>
      <c r="D2" s="29"/>
      <c r="E2" s="29"/>
      <c r="F2" s="29"/>
      <c r="G2" s="29"/>
      <c r="H2" s="29"/>
      <c r="I2" s="27"/>
      <c r="J2" s="27"/>
      <c r="K2" s="27"/>
      <c r="L2" s="123"/>
    </row>
    <row r="3" spans="1:12" s="31" customFormat="1" ht="23.25">
      <c r="A3" s="918">
        <f>'RFPR cover'!C7</f>
        <v>2021</v>
      </c>
      <c r="B3" s="924" t="str">
        <f>'R1 - RoRE'!B3</f>
        <v/>
      </c>
      <c r="C3" s="260"/>
      <c r="D3" s="260"/>
      <c r="E3" s="260"/>
      <c r="F3" s="260"/>
      <c r="G3" s="260"/>
      <c r="H3" s="260"/>
      <c r="I3" s="255"/>
      <c r="J3" s="255"/>
      <c r="K3" s="255"/>
      <c r="L3" s="261"/>
    </row>
    <row r="4" spans="1:12" s="31" customFormat="1" ht="12.75" customHeight="1">
      <c r="A4" s="39"/>
      <c r="B4" s="39"/>
      <c r="C4" s="39"/>
      <c r="D4" s="39"/>
      <c r="E4" s="39"/>
      <c r="F4" s="39"/>
      <c r="G4" s="39"/>
      <c r="H4" s="39"/>
      <c r="I4" s="34"/>
      <c r="J4" s="34"/>
      <c r="K4" s="34"/>
      <c r="L4" s="33"/>
    </row>
    <row r="5" spans="1:12" s="2" customForma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row>
    <row r="6" spans="1:12"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row r="8" spans="1:12" s="2" customFormat="1">
      <c r="B8" s="213" t="s">
        <v>504</v>
      </c>
      <c r="C8" s="152" t="s">
        <v>128</v>
      </c>
      <c r="D8" s="886">
        <v>0</v>
      </c>
      <c r="E8" s="699">
        <f>D10</f>
        <v>0</v>
      </c>
      <c r="F8" s="699">
        <f t="shared" ref="F8:K8" si="1">E10</f>
        <v>0</v>
      </c>
      <c r="G8" s="699">
        <f t="shared" si="1"/>
        <v>0</v>
      </c>
      <c r="H8" s="699">
        <f t="shared" si="1"/>
        <v>0</v>
      </c>
      <c r="I8" s="699">
        <f t="shared" si="1"/>
        <v>0</v>
      </c>
      <c r="J8" s="699">
        <f t="shared" si="1"/>
        <v>0</v>
      </c>
      <c r="K8" s="699">
        <f t="shared" si="1"/>
        <v>0</v>
      </c>
    </row>
    <row r="9" spans="1:12" s="2" customFormat="1">
      <c r="B9" s="213"/>
    </row>
    <row r="10" spans="1:12">
      <c r="B10" s="213" t="s">
        <v>505</v>
      </c>
      <c r="C10" s="152" t="s">
        <v>128</v>
      </c>
      <c r="D10" s="693">
        <v>0</v>
      </c>
      <c r="E10" s="694">
        <v>0</v>
      </c>
      <c r="F10" s="694">
        <v>0</v>
      </c>
      <c r="G10" s="694">
        <v>0</v>
      </c>
      <c r="H10" s="694">
        <v>0</v>
      </c>
      <c r="I10" s="694">
        <v>0</v>
      </c>
      <c r="J10" s="694">
        <v>0</v>
      </c>
      <c r="K10" s="695">
        <v>0</v>
      </c>
    </row>
    <row r="11" spans="1:12">
      <c r="B11" s="213" t="s">
        <v>354</v>
      </c>
      <c r="C11" s="152" t="s">
        <v>128</v>
      </c>
      <c r="D11" s="696">
        <v>347</v>
      </c>
      <c r="E11" s="697">
        <v>347.3</v>
      </c>
      <c r="F11" s="697">
        <v>347.6</v>
      </c>
      <c r="G11" s="697">
        <v>347.9</v>
      </c>
      <c r="H11" s="697">
        <v>348.2</v>
      </c>
      <c r="I11" s="697">
        <v>348.46238539000001</v>
      </c>
      <c r="J11" s="697">
        <v>348.67899999999997</v>
      </c>
      <c r="K11" s="698">
        <v>348.96800000000002</v>
      </c>
    </row>
    <row r="12" spans="1:12">
      <c r="B12" s="213" t="s">
        <v>355</v>
      </c>
      <c r="C12" s="152" t="s">
        <v>128</v>
      </c>
      <c r="D12" s="696">
        <v>690</v>
      </c>
      <c r="E12" s="697">
        <v>699.8</v>
      </c>
      <c r="F12" s="697">
        <v>765</v>
      </c>
      <c r="G12" s="697">
        <v>801.2</v>
      </c>
      <c r="H12" s="697">
        <v>865.5</v>
      </c>
      <c r="I12" s="697">
        <v>980</v>
      </c>
      <c r="J12" s="697">
        <v>940</v>
      </c>
      <c r="K12" s="698">
        <v>815</v>
      </c>
    </row>
    <row r="13" spans="1:12">
      <c r="B13" s="213" t="s">
        <v>356</v>
      </c>
      <c r="C13" s="152" t="s">
        <v>128</v>
      </c>
      <c r="D13" s="696">
        <v>-31.3</v>
      </c>
      <c r="E13" s="697">
        <v>0</v>
      </c>
      <c r="F13" s="697">
        <v>-6.3</v>
      </c>
      <c r="G13" s="697">
        <v>0</v>
      </c>
      <c r="H13" s="697">
        <v>0</v>
      </c>
      <c r="I13" s="697">
        <v>-56.83913313</v>
      </c>
      <c r="J13" s="697">
        <v>0</v>
      </c>
      <c r="K13" s="698">
        <v>0</v>
      </c>
    </row>
    <row r="14" spans="1:12">
      <c r="B14" s="213" t="s">
        <v>357</v>
      </c>
      <c r="C14" s="152" t="s">
        <v>128</v>
      </c>
      <c r="D14" s="696">
        <v>0</v>
      </c>
      <c r="E14" s="697">
        <v>0</v>
      </c>
      <c r="F14" s="697">
        <v>0</v>
      </c>
      <c r="G14" s="697">
        <v>0</v>
      </c>
      <c r="H14" s="697">
        <v>0</v>
      </c>
      <c r="I14" s="697">
        <v>0</v>
      </c>
      <c r="J14" s="697">
        <v>0</v>
      </c>
      <c r="K14" s="698">
        <v>0</v>
      </c>
    </row>
    <row r="15" spans="1:12">
      <c r="B15" s="213" t="s">
        <v>291</v>
      </c>
      <c r="C15" s="152" t="s">
        <v>128</v>
      </c>
      <c r="D15" s="696">
        <v>0</v>
      </c>
      <c r="E15" s="697">
        <v>0</v>
      </c>
      <c r="F15" s="697">
        <v>0</v>
      </c>
      <c r="G15" s="697">
        <v>0</v>
      </c>
      <c r="H15" s="697">
        <v>0</v>
      </c>
      <c r="I15" s="697">
        <v>0</v>
      </c>
      <c r="J15" s="697">
        <v>0</v>
      </c>
      <c r="K15" s="698">
        <v>0</v>
      </c>
    </row>
    <row r="16" spans="1:12">
      <c r="B16" s="213" t="s">
        <v>292</v>
      </c>
      <c r="C16" s="152" t="s">
        <v>128</v>
      </c>
      <c r="D16" s="696">
        <v>0</v>
      </c>
      <c r="E16" s="697">
        <v>0</v>
      </c>
      <c r="F16" s="697">
        <v>0</v>
      </c>
      <c r="G16" s="697">
        <v>0</v>
      </c>
      <c r="H16" s="697">
        <v>0</v>
      </c>
      <c r="I16" s="697">
        <v>0</v>
      </c>
      <c r="J16" s="697">
        <v>0</v>
      </c>
      <c r="K16" s="698">
        <v>0</v>
      </c>
    </row>
    <row r="17" spans="2:13">
      <c r="B17" s="213" t="s">
        <v>296</v>
      </c>
      <c r="C17" s="152" t="s">
        <v>128</v>
      </c>
      <c r="D17" s="696">
        <v>0</v>
      </c>
      <c r="E17" s="697">
        <v>0</v>
      </c>
      <c r="F17" s="697">
        <v>0</v>
      </c>
      <c r="G17" s="697">
        <v>0</v>
      </c>
      <c r="H17" s="697">
        <v>0</v>
      </c>
      <c r="I17" s="697">
        <v>0</v>
      </c>
      <c r="J17" s="697">
        <v>0</v>
      </c>
      <c r="K17" s="698">
        <v>0</v>
      </c>
    </row>
    <row r="18" spans="2:13">
      <c r="B18" s="213" t="s">
        <v>297</v>
      </c>
      <c r="C18" s="152" t="s">
        <v>128</v>
      </c>
      <c r="D18" s="696">
        <v>0</v>
      </c>
      <c r="E18" s="697">
        <v>0</v>
      </c>
      <c r="F18" s="697">
        <v>0</v>
      </c>
      <c r="G18" s="697">
        <v>0</v>
      </c>
      <c r="H18" s="697">
        <v>0</v>
      </c>
      <c r="I18" s="697">
        <v>0</v>
      </c>
      <c r="J18" s="697">
        <v>0</v>
      </c>
      <c r="K18" s="698">
        <v>0</v>
      </c>
    </row>
    <row r="19" spans="2:13">
      <c r="B19" s="213" t="s">
        <v>298</v>
      </c>
      <c r="C19" s="152" t="s">
        <v>128</v>
      </c>
      <c r="D19" s="696">
        <v>0</v>
      </c>
      <c r="E19" s="697">
        <v>0</v>
      </c>
      <c r="F19" s="697">
        <v>0</v>
      </c>
      <c r="G19" s="697">
        <v>0</v>
      </c>
      <c r="H19" s="697">
        <v>0</v>
      </c>
      <c r="I19" s="697">
        <v>0</v>
      </c>
      <c r="J19" s="697">
        <v>0</v>
      </c>
      <c r="K19" s="698">
        <v>0</v>
      </c>
    </row>
    <row r="20" spans="2:13">
      <c r="B20" s="213" t="s">
        <v>299</v>
      </c>
      <c r="C20" s="152" t="s">
        <v>128</v>
      </c>
      <c r="D20" s="696">
        <v>0</v>
      </c>
      <c r="E20" s="697">
        <v>0</v>
      </c>
      <c r="F20" s="697">
        <v>0</v>
      </c>
      <c r="G20" s="697">
        <v>0</v>
      </c>
      <c r="H20" s="697">
        <v>0</v>
      </c>
      <c r="I20" s="697">
        <v>0</v>
      </c>
      <c r="J20" s="697">
        <v>0</v>
      </c>
      <c r="K20" s="698">
        <v>0</v>
      </c>
    </row>
    <row r="21" spans="2:13">
      <c r="B21" s="213" t="s">
        <v>300</v>
      </c>
      <c r="C21" s="152" t="s">
        <v>128</v>
      </c>
      <c r="D21" s="696">
        <v>0</v>
      </c>
      <c r="E21" s="697">
        <v>0</v>
      </c>
      <c r="F21" s="697">
        <v>0</v>
      </c>
      <c r="G21" s="697">
        <v>0</v>
      </c>
      <c r="H21" s="697">
        <v>0</v>
      </c>
      <c r="I21" s="697">
        <v>0</v>
      </c>
      <c r="J21" s="697">
        <v>0</v>
      </c>
      <c r="K21" s="698">
        <v>0</v>
      </c>
    </row>
    <row r="22" spans="2:13">
      <c r="B22" s="213" t="s">
        <v>301</v>
      </c>
      <c r="C22" s="152" t="s">
        <v>128</v>
      </c>
      <c r="D22" s="696">
        <v>0</v>
      </c>
      <c r="E22" s="697">
        <v>0</v>
      </c>
      <c r="F22" s="697">
        <v>0</v>
      </c>
      <c r="G22" s="697">
        <v>0</v>
      </c>
      <c r="H22" s="697">
        <v>0</v>
      </c>
      <c r="I22" s="697">
        <v>0</v>
      </c>
      <c r="J22" s="697">
        <v>0</v>
      </c>
      <c r="K22" s="698">
        <v>0</v>
      </c>
    </row>
    <row r="23" spans="2:13">
      <c r="B23" s="14" t="s">
        <v>317</v>
      </c>
      <c r="C23" s="235" t="s">
        <v>128</v>
      </c>
      <c r="D23" s="699">
        <f>SUM(D10:D22)</f>
        <v>1005.7</v>
      </c>
      <c r="E23" s="699">
        <f t="shared" ref="E23:K23" si="2">SUM(E10:E22)</f>
        <v>1047.0999999999999</v>
      </c>
      <c r="F23" s="699">
        <f t="shared" si="2"/>
        <v>1106.3</v>
      </c>
      <c r="G23" s="699">
        <f t="shared" si="2"/>
        <v>1149.0999999999999</v>
      </c>
      <c r="H23" s="699">
        <f t="shared" si="2"/>
        <v>1213.7</v>
      </c>
      <c r="I23" s="699">
        <f t="shared" si="2"/>
        <v>1271.6232522600001</v>
      </c>
      <c r="J23" s="699">
        <f t="shared" si="2"/>
        <v>1288.6790000000001</v>
      </c>
      <c r="K23" s="700">
        <f t="shared" si="2"/>
        <v>1163.9680000000001</v>
      </c>
      <c r="L23" s="2"/>
      <c r="M23" s="323"/>
    </row>
    <row r="24" spans="2:13">
      <c r="B24" s="14"/>
      <c r="C24" s="152"/>
      <c r="D24" s="239"/>
      <c r="E24" s="239"/>
      <c r="F24" s="239"/>
      <c r="G24" s="239"/>
      <c r="H24" s="239"/>
      <c r="I24" s="239"/>
      <c r="J24" s="239"/>
      <c r="K24" s="239"/>
      <c r="L24" s="2"/>
      <c r="M24" s="2"/>
    </row>
    <row r="25" spans="2:13">
      <c r="B25" s="14" t="s">
        <v>123</v>
      </c>
      <c r="C25" s="16"/>
      <c r="D25" s="240"/>
      <c r="E25" s="240"/>
      <c r="F25" s="240"/>
      <c r="G25" s="240"/>
      <c r="H25" s="240"/>
      <c r="I25" s="240"/>
      <c r="J25" s="240"/>
      <c r="K25" s="240"/>
      <c r="L25" s="2"/>
      <c r="M25" s="2"/>
    </row>
    <row r="26" spans="2:13">
      <c r="B26" s="370" t="s">
        <v>516</v>
      </c>
      <c r="C26" s="152" t="s">
        <v>128</v>
      </c>
      <c r="D26" s="347">
        <v>0</v>
      </c>
      <c r="E26" s="347">
        <v>0</v>
      </c>
      <c r="F26" s="347">
        <v>0</v>
      </c>
      <c r="G26" s="347">
        <v>0</v>
      </c>
      <c r="H26" s="347">
        <v>0</v>
      </c>
      <c r="I26" s="347">
        <v>0</v>
      </c>
      <c r="J26" s="347">
        <v>0</v>
      </c>
      <c r="K26" s="347">
        <v>0</v>
      </c>
      <c r="L26" s="2"/>
      <c r="M26" s="2"/>
    </row>
    <row r="27" spans="2:13">
      <c r="B27" s="370" t="s">
        <v>8</v>
      </c>
      <c r="C27" s="152" t="s">
        <v>128</v>
      </c>
      <c r="D27" s="347">
        <v>0</v>
      </c>
      <c r="E27" s="380">
        <v>0</v>
      </c>
      <c r="F27" s="380">
        <v>0</v>
      </c>
      <c r="G27" s="380">
        <v>0</v>
      </c>
      <c r="H27" s="380">
        <v>0</v>
      </c>
      <c r="I27" s="380">
        <v>0</v>
      </c>
      <c r="J27" s="380">
        <v>0</v>
      </c>
      <c r="K27" s="384">
        <v>0</v>
      </c>
      <c r="L27" s="35"/>
      <c r="M27" s="35"/>
    </row>
    <row r="28" spans="2:13">
      <c r="B28" s="370" t="s">
        <v>9</v>
      </c>
      <c r="C28" s="152" t="s">
        <v>128</v>
      </c>
      <c r="D28" s="347">
        <v>0</v>
      </c>
      <c r="E28" s="380">
        <v>0</v>
      </c>
      <c r="F28" s="380">
        <v>0</v>
      </c>
      <c r="G28" s="380">
        <v>0</v>
      </c>
      <c r="H28" s="380">
        <v>0</v>
      </c>
      <c r="I28" s="380">
        <v>0</v>
      </c>
      <c r="J28" s="380">
        <v>0</v>
      </c>
      <c r="K28" s="384">
        <v>0</v>
      </c>
      <c r="L28" s="35"/>
      <c r="M28" s="35"/>
    </row>
    <row r="29" spans="2:13">
      <c r="B29" s="370" t="s">
        <v>10</v>
      </c>
      <c r="C29" s="152" t="s">
        <v>128</v>
      </c>
      <c r="D29" s="347">
        <v>0</v>
      </c>
      <c r="E29" s="380">
        <v>0</v>
      </c>
      <c r="F29" s="380">
        <v>0</v>
      </c>
      <c r="G29" s="380">
        <v>0</v>
      </c>
      <c r="H29" s="380">
        <v>0</v>
      </c>
      <c r="I29" s="380">
        <v>0</v>
      </c>
      <c r="J29" s="380">
        <v>0</v>
      </c>
      <c r="K29" s="384">
        <v>0</v>
      </c>
      <c r="L29" s="35"/>
      <c r="M29" s="35"/>
    </row>
    <row r="30" spans="2:13">
      <c r="B30" s="370" t="s">
        <v>623</v>
      </c>
      <c r="C30" s="152" t="s">
        <v>128</v>
      </c>
      <c r="D30" s="347">
        <v>0</v>
      </c>
      <c r="E30" s="380">
        <v>0</v>
      </c>
      <c r="F30" s="380">
        <v>0</v>
      </c>
      <c r="G30" s="380">
        <v>0</v>
      </c>
      <c r="H30" s="380">
        <v>0</v>
      </c>
      <c r="I30" s="380">
        <v>0</v>
      </c>
      <c r="J30" s="380">
        <v>0</v>
      </c>
      <c r="K30" s="384">
        <v>0</v>
      </c>
    </row>
    <row r="31" spans="2:13">
      <c r="B31" s="370" t="s">
        <v>624</v>
      </c>
      <c r="C31" s="152" t="s">
        <v>128</v>
      </c>
      <c r="D31" s="347">
        <v>0</v>
      </c>
      <c r="E31" s="380">
        <v>0</v>
      </c>
      <c r="F31" s="380">
        <v>0</v>
      </c>
      <c r="G31" s="380">
        <v>0</v>
      </c>
      <c r="H31" s="380">
        <v>0</v>
      </c>
      <c r="I31" s="380">
        <v>0</v>
      </c>
      <c r="J31" s="380">
        <v>0</v>
      </c>
      <c r="K31" s="384">
        <v>0</v>
      </c>
    </row>
    <row r="32" spans="2:13" ht="12.75" customHeight="1">
      <c r="B32" s="370" t="s">
        <v>625</v>
      </c>
      <c r="C32" s="152" t="s">
        <v>128</v>
      </c>
      <c r="D32" s="347">
        <v>0</v>
      </c>
      <c r="E32" s="380">
        <v>0</v>
      </c>
      <c r="F32" s="380">
        <v>0</v>
      </c>
      <c r="G32" s="380">
        <v>0</v>
      </c>
      <c r="H32" s="380">
        <v>0</v>
      </c>
      <c r="I32" s="380">
        <v>0</v>
      </c>
      <c r="J32" s="380">
        <v>0</v>
      </c>
      <c r="K32" s="384">
        <v>0</v>
      </c>
    </row>
    <row r="33" spans="2:12">
      <c r="B33" s="370" t="s">
        <v>626</v>
      </c>
      <c r="C33" s="152" t="s">
        <v>128</v>
      </c>
      <c r="D33" s="347">
        <v>0</v>
      </c>
      <c r="E33" s="380">
        <v>0</v>
      </c>
      <c r="F33" s="380">
        <v>0</v>
      </c>
      <c r="G33" s="380">
        <v>0</v>
      </c>
      <c r="H33" s="380">
        <v>0</v>
      </c>
      <c r="I33" s="380">
        <v>0</v>
      </c>
      <c r="J33" s="380">
        <v>0</v>
      </c>
      <c r="K33" s="384">
        <v>0</v>
      </c>
    </row>
    <row r="34" spans="2:12">
      <c r="B34" s="370" t="s">
        <v>627</v>
      </c>
      <c r="C34" s="152" t="s">
        <v>128</v>
      </c>
      <c r="D34" s="347">
        <v>0</v>
      </c>
      <c r="E34" s="380">
        <v>0</v>
      </c>
      <c r="F34" s="380">
        <v>0</v>
      </c>
      <c r="G34" s="380">
        <v>0</v>
      </c>
      <c r="H34" s="380">
        <v>0</v>
      </c>
      <c r="I34" s="380">
        <v>0</v>
      </c>
      <c r="J34" s="380">
        <v>0</v>
      </c>
      <c r="K34" s="384">
        <v>0</v>
      </c>
    </row>
    <row r="35" spans="2:12">
      <c r="B35" s="370" t="s">
        <v>628</v>
      </c>
      <c r="C35" s="152" t="s">
        <v>128</v>
      </c>
      <c r="D35" s="347">
        <v>0</v>
      </c>
      <c r="E35" s="380">
        <v>0</v>
      </c>
      <c r="F35" s="380">
        <v>0</v>
      </c>
      <c r="G35" s="380">
        <v>0</v>
      </c>
      <c r="H35" s="380">
        <v>0</v>
      </c>
      <c r="I35" s="380">
        <v>0</v>
      </c>
      <c r="J35" s="380">
        <v>0</v>
      </c>
      <c r="K35" s="384">
        <v>0</v>
      </c>
    </row>
    <row r="36" spans="2:12">
      <c r="B36" s="370" t="s">
        <v>629</v>
      </c>
      <c r="C36" s="152" t="s">
        <v>128</v>
      </c>
      <c r="D36" s="347">
        <v>0</v>
      </c>
      <c r="E36" s="380">
        <v>0</v>
      </c>
      <c r="F36" s="380">
        <v>0</v>
      </c>
      <c r="G36" s="380">
        <v>0</v>
      </c>
      <c r="H36" s="380">
        <v>0</v>
      </c>
      <c r="I36" s="380">
        <v>0</v>
      </c>
      <c r="J36" s="380">
        <v>0</v>
      </c>
      <c r="K36" s="384">
        <v>0</v>
      </c>
    </row>
    <row r="37" spans="2:12">
      <c r="B37" s="370" t="s">
        <v>630</v>
      </c>
      <c r="C37" s="152" t="s">
        <v>128</v>
      </c>
      <c r="D37" s="347">
        <v>0</v>
      </c>
      <c r="E37" s="380">
        <v>0</v>
      </c>
      <c r="F37" s="380">
        <v>0</v>
      </c>
      <c r="G37" s="380">
        <v>0</v>
      </c>
      <c r="H37" s="380">
        <v>0</v>
      </c>
      <c r="I37" s="380">
        <v>0</v>
      </c>
      <c r="J37" s="380">
        <v>0</v>
      </c>
      <c r="K37" s="384">
        <v>0</v>
      </c>
    </row>
    <row r="38" spans="2:12">
      <c r="B38" s="370" t="s">
        <v>631</v>
      </c>
      <c r="C38" s="152" t="s">
        <v>128</v>
      </c>
      <c r="D38" s="347">
        <v>0</v>
      </c>
      <c r="E38" s="380">
        <v>0</v>
      </c>
      <c r="F38" s="380">
        <v>0</v>
      </c>
      <c r="G38" s="380">
        <v>0</v>
      </c>
      <c r="H38" s="380">
        <v>0</v>
      </c>
      <c r="I38" s="380">
        <v>0</v>
      </c>
      <c r="J38" s="380">
        <v>0</v>
      </c>
      <c r="K38" s="384">
        <v>0</v>
      </c>
    </row>
    <row r="39" spans="2:12">
      <c r="B39" s="370" t="s">
        <v>632</v>
      </c>
      <c r="C39" s="152" t="s">
        <v>128</v>
      </c>
      <c r="D39" s="347">
        <v>0</v>
      </c>
      <c r="E39" s="380">
        <v>0</v>
      </c>
      <c r="F39" s="380">
        <v>0</v>
      </c>
      <c r="G39" s="380">
        <v>0</v>
      </c>
      <c r="H39" s="380">
        <v>0</v>
      </c>
      <c r="I39" s="380">
        <v>0</v>
      </c>
      <c r="J39" s="380">
        <v>0</v>
      </c>
      <c r="K39" s="384">
        <v>0</v>
      </c>
    </row>
    <row r="40" spans="2:12">
      <c r="B40" s="370" t="s">
        <v>633</v>
      </c>
      <c r="C40" s="152" t="s">
        <v>128</v>
      </c>
      <c r="D40" s="347">
        <v>0</v>
      </c>
      <c r="E40" s="380">
        <v>0</v>
      </c>
      <c r="F40" s="380">
        <v>0</v>
      </c>
      <c r="G40" s="380">
        <v>0</v>
      </c>
      <c r="H40" s="380">
        <v>0</v>
      </c>
      <c r="I40" s="380">
        <v>0</v>
      </c>
      <c r="J40" s="380">
        <v>0</v>
      </c>
      <c r="K40" s="384">
        <v>0</v>
      </c>
    </row>
    <row r="41" spans="2:12">
      <c r="B41" s="370" t="s">
        <v>634</v>
      </c>
      <c r="C41" s="152" t="s">
        <v>128</v>
      </c>
      <c r="D41" s="381">
        <v>0</v>
      </c>
      <c r="E41" s="382">
        <v>0</v>
      </c>
      <c r="F41" s="382">
        <v>0</v>
      </c>
      <c r="G41" s="382">
        <v>0</v>
      </c>
      <c r="H41" s="382">
        <v>0</v>
      </c>
      <c r="I41" s="382">
        <v>0</v>
      </c>
      <c r="J41" s="382">
        <v>0</v>
      </c>
      <c r="K41" s="385">
        <v>0</v>
      </c>
    </row>
    <row r="42" spans="2:12">
      <c r="B42" s="199" t="s">
        <v>233</v>
      </c>
      <c r="C42" s="152" t="s">
        <v>128</v>
      </c>
      <c r="D42" s="707">
        <f>SUM(D23,D26:D41)</f>
        <v>1005.7</v>
      </c>
      <c r="E42" s="707">
        <f t="shared" ref="E42:K42" si="3">SUM(E23,E26:E41)</f>
        <v>1047.0999999999999</v>
      </c>
      <c r="F42" s="707">
        <f t="shared" si="3"/>
        <v>1106.3</v>
      </c>
      <c r="G42" s="707">
        <f t="shared" si="3"/>
        <v>1149.0999999999999</v>
      </c>
      <c r="H42" s="707">
        <f t="shared" si="3"/>
        <v>1213.7</v>
      </c>
      <c r="I42" s="707">
        <f t="shared" si="3"/>
        <v>1271.6232522600001</v>
      </c>
      <c r="J42" s="707">
        <f t="shared" si="3"/>
        <v>1288.6790000000001</v>
      </c>
      <c r="K42" s="707">
        <f t="shared" si="3"/>
        <v>1163.9680000000001</v>
      </c>
    </row>
    <row r="43" spans="2:12">
      <c r="B43" s="371" t="s">
        <v>304</v>
      </c>
      <c r="C43" s="152" t="s">
        <v>128</v>
      </c>
      <c r="D43" s="708"/>
      <c r="E43" s="709"/>
      <c r="F43" s="709"/>
      <c r="G43" s="710"/>
      <c r="H43" s="710"/>
      <c r="I43" s="710"/>
      <c r="J43" s="886">
        <v>42.034333202062498</v>
      </c>
      <c r="K43" s="886">
        <v>214.05591187346295</v>
      </c>
    </row>
    <row r="44" spans="2:12">
      <c r="B44" s="346" t="s">
        <v>421</v>
      </c>
      <c r="C44" s="152" t="s">
        <v>128</v>
      </c>
      <c r="D44" s="95">
        <f>SUM(D42:D43)</f>
        <v>1005.7</v>
      </c>
      <c r="E44" s="96">
        <f t="shared" ref="E44:K44" si="4">SUM(E42:E43)</f>
        <v>1047.0999999999999</v>
      </c>
      <c r="F44" s="96">
        <f t="shared" si="4"/>
        <v>1106.3</v>
      </c>
      <c r="G44" s="96">
        <f t="shared" si="4"/>
        <v>1149.0999999999999</v>
      </c>
      <c r="H44" s="96">
        <f t="shared" si="4"/>
        <v>1213.7</v>
      </c>
      <c r="I44" s="96">
        <f t="shared" si="4"/>
        <v>1271.6232522600001</v>
      </c>
      <c r="J44" s="96">
        <f t="shared" si="4"/>
        <v>1330.7133332020626</v>
      </c>
      <c r="K44" s="97">
        <f t="shared" si="4"/>
        <v>1378.023911873463</v>
      </c>
    </row>
    <row r="45" spans="2:12">
      <c r="D45" s="226" t="s">
        <v>636</v>
      </c>
      <c r="E45" s="227" t="s">
        <v>636</v>
      </c>
      <c r="F45" s="227" t="s">
        <v>636</v>
      </c>
      <c r="G45" s="227" t="s">
        <v>636</v>
      </c>
      <c r="H45" s="227" t="s">
        <v>636</v>
      </c>
      <c r="I45" s="227" t="s">
        <v>636</v>
      </c>
      <c r="J45" s="227" t="s">
        <v>636</v>
      </c>
      <c r="K45" s="228" t="s">
        <v>636</v>
      </c>
    </row>
    <row r="47" spans="2:12">
      <c r="B47" s="825" t="s">
        <v>422</v>
      </c>
      <c r="C47" s="152" t="s">
        <v>128</v>
      </c>
      <c r="D47" s="840">
        <v>1016.7</v>
      </c>
      <c r="E47" s="96">
        <f>D48</f>
        <v>1005.7</v>
      </c>
      <c r="F47" s="96">
        <f t="shared" ref="F47:K47" si="5">E48</f>
        <v>1047.0999999999999</v>
      </c>
      <c r="G47" s="96">
        <f t="shared" si="5"/>
        <v>1106.3</v>
      </c>
      <c r="H47" s="96">
        <f t="shared" si="5"/>
        <v>1149.0999999999999</v>
      </c>
      <c r="I47" s="96">
        <f t="shared" si="5"/>
        <v>1213.7</v>
      </c>
      <c r="J47" s="96">
        <f t="shared" si="5"/>
        <v>1271.6232522600001</v>
      </c>
      <c r="K47" s="97">
        <f t="shared" si="5"/>
        <v>1330.7133332020626</v>
      </c>
      <c r="L47" s="824"/>
    </row>
    <row r="48" spans="2:12">
      <c r="B48" s="825" t="s">
        <v>423</v>
      </c>
      <c r="C48" s="152" t="s">
        <v>128</v>
      </c>
      <c r="D48" s="580">
        <f>D44</f>
        <v>1005.7</v>
      </c>
      <c r="E48" s="581">
        <f>E44</f>
        <v>1047.0999999999999</v>
      </c>
      <c r="F48" s="581">
        <f t="shared" ref="F48:K48" si="6">F44</f>
        <v>1106.3</v>
      </c>
      <c r="G48" s="581">
        <f t="shared" si="6"/>
        <v>1149.0999999999999</v>
      </c>
      <c r="H48" s="581">
        <f t="shared" si="6"/>
        <v>1213.7</v>
      </c>
      <c r="I48" s="581">
        <f t="shared" si="6"/>
        <v>1271.6232522600001</v>
      </c>
      <c r="J48" s="581">
        <f t="shared" si="6"/>
        <v>1330.7133332020626</v>
      </c>
      <c r="K48" s="839">
        <f t="shared" si="6"/>
        <v>1378.023911873463</v>
      </c>
      <c r="L48" s="824"/>
    </row>
    <row r="49" spans="2:13">
      <c r="D49" s="23"/>
      <c r="E49" s="23"/>
      <c r="F49" s="23"/>
      <c r="G49" s="23"/>
      <c r="H49" s="23"/>
      <c r="I49" s="23"/>
      <c r="J49" s="23"/>
      <c r="K49" s="23"/>
    </row>
    <row r="50" spans="2:13">
      <c r="B50" s="14" t="s">
        <v>124</v>
      </c>
    </row>
    <row r="51" spans="2:13">
      <c r="B51" t="s">
        <v>125</v>
      </c>
      <c r="C51" s="481" t="s">
        <v>7</v>
      </c>
      <c r="D51" s="475">
        <v>0</v>
      </c>
      <c r="E51" s="476">
        <v>0</v>
      </c>
      <c r="F51" s="476">
        <v>0</v>
      </c>
      <c r="G51" s="476">
        <v>0</v>
      </c>
      <c r="H51" s="476">
        <v>0</v>
      </c>
      <c r="I51" s="476">
        <v>0</v>
      </c>
      <c r="J51" s="476">
        <v>0</v>
      </c>
      <c r="K51" s="477">
        <v>0</v>
      </c>
    </row>
    <row r="52" spans="2:13">
      <c r="B52" t="s">
        <v>126</v>
      </c>
      <c r="C52" s="481" t="s">
        <v>7</v>
      </c>
      <c r="D52" s="487">
        <f>1-D51</f>
        <v>1</v>
      </c>
      <c r="E52" s="488">
        <f t="shared" ref="E52:K52" si="7">1-E51</f>
        <v>1</v>
      </c>
      <c r="F52" s="488">
        <f t="shared" si="7"/>
        <v>1</v>
      </c>
      <c r="G52" s="488">
        <f t="shared" si="7"/>
        <v>1</v>
      </c>
      <c r="H52" s="488">
        <f t="shared" si="7"/>
        <v>1</v>
      </c>
      <c r="I52" s="488">
        <f t="shared" si="7"/>
        <v>1</v>
      </c>
      <c r="J52" s="488">
        <f t="shared" si="7"/>
        <v>1</v>
      </c>
      <c r="K52" s="489">
        <f t="shared" si="7"/>
        <v>1</v>
      </c>
    </row>
    <row r="53" spans="2:13">
      <c r="C53" s="824"/>
      <c r="D53" s="824"/>
      <c r="E53" s="824"/>
      <c r="F53" s="824"/>
      <c r="G53" s="824"/>
      <c r="H53" s="824"/>
      <c r="I53" s="824"/>
      <c r="J53" s="824"/>
      <c r="K53" s="824"/>
      <c r="L53" s="824"/>
    </row>
    <row r="54" spans="2:13">
      <c r="B54" s="200" t="s">
        <v>445</v>
      </c>
      <c r="C54" s="266" t="s">
        <v>128</v>
      </c>
      <c r="D54" s="711">
        <f>AVERAGE(D47:D48)*D52</f>
        <v>1011.2</v>
      </c>
      <c r="E54" s="712">
        <f t="shared" ref="E54:K54" si="8">AVERAGE(E47:E48)*E52</f>
        <v>1026.4000000000001</v>
      </c>
      <c r="F54" s="712">
        <f t="shared" si="8"/>
        <v>1076.6999999999998</v>
      </c>
      <c r="G54" s="712">
        <f t="shared" si="8"/>
        <v>1127.6999999999998</v>
      </c>
      <c r="H54" s="712">
        <f t="shared" si="8"/>
        <v>1181.4000000000001</v>
      </c>
      <c r="I54" s="712">
        <f t="shared" si="8"/>
        <v>1242.6616261300001</v>
      </c>
      <c r="J54" s="712">
        <f t="shared" si="8"/>
        <v>1301.1682927310312</v>
      </c>
      <c r="K54" s="713">
        <f t="shared" si="8"/>
        <v>1354.3686225377628</v>
      </c>
    </row>
    <row r="55" spans="2:13">
      <c r="B55" s="200" t="s">
        <v>270</v>
      </c>
      <c r="C55" s="152" t="s">
        <v>128</v>
      </c>
      <c r="D55" s="701">
        <f>D56-D54</f>
        <v>606.19239309712839</v>
      </c>
      <c r="E55" s="702">
        <f t="shared" ref="E55:K55" si="9">E56-E54</f>
        <v>642.02235355997482</v>
      </c>
      <c r="F55" s="702">
        <f t="shared" si="9"/>
        <v>666.09235631812567</v>
      </c>
      <c r="G55" s="702">
        <f t="shared" si="9"/>
        <v>696.5277730867997</v>
      </c>
      <c r="H55" s="702">
        <f t="shared" si="9"/>
        <v>720.11380911902847</v>
      </c>
      <c r="I55" s="702">
        <f t="shared" si="9"/>
        <v>719.122345371552</v>
      </c>
      <c r="J55" s="702">
        <f t="shared" si="9"/>
        <v>717.09054186776393</v>
      </c>
      <c r="K55" s="703">
        <f t="shared" si="9"/>
        <v>731.49318054245214</v>
      </c>
    </row>
    <row r="56" spans="2:13">
      <c r="B56" s="200" t="s">
        <v>492</v>
      </c>
      <c r="C56" s="152" t="s">
        <v>128</v>
      </c>
      <c r="D56" s="877">
        <f>IF(D6='RFPR cover'!$C$13,AVERAGE(('R9 - RAV'!D16*'R9 - RAV'!D36),'R9 - RAV'!D38),AVERAGE('R9 - RAV'!C38:D38))</f>
        <v>1617.3923930971284</v>
      </c>
      <c r="E56" s="877">
        <f>IF(E6='RFPR cover'!$C$13,AVERAGE(('R9 - RAV'!E16*'R9 - RAV'!E36),'R9 - RAV'!E38),AVERAGE('R9 - RAV'!D38:E38))</f>
        <v>1668.4223535599749</v>
      </c>
      <c r="F56" s="877">
        <f>IF(F6='RFPR cover'!$C$13,AVERAGE(('R9 - RAV'!F16*'R9 - RAV'!F36),'R9 - RAV'!F38),AVERAGE('R9 - RAV'!E38:F38))</f>
        <v>1742.7923563181255</v>
      </c>
      <c r="G56" s="877">
        <f>IF(G6='RFPR cover'!$C$13,AVERAGE(('R9 - RAV'!G16*'R9 - RAV'!G36),'R9 - RAV'!G38),AVERAGE('R9 - RAV'!F38:G38))</f>
        <v>1824.2277730867995</v>
      </c>
      <c r="H56" s="877">
        <f>IF(H6='RFPR cover'!$C$13,AVERAGE(('R9 - RAV'!H16*'R9 - RAV'!H36),'R9 - RAV'!H38),AVERAGE('R9 - RAV'!G38:H38))</f>
        <v>1901.5138091190286</v>
      </c>
      <c r="I56" s="877">
        <f>IF(I6='RFPR cover'!$C$13,AVERAGE(('R9 - RAV'!I16*'R9 - RAV'!I36),'R9 - RAV'!I38),AVERAGE('R9 - RAV'!H38:I38))</f>
        <v>1961.7839715015521</v>
      </c>
      <c r="J56" s="877">
        <f>IF(J6='RFPR cover'!$C$13,AVERAGE(('R9 - RAV'!J16*'R9 - RAV'!J36),'R9 - RAV'!J38),AVERAGE('R9 - RAV'!I38:J38))</f>
        <v>2018.2588345987951</v>
      </c>
      <c r="K56" s="877">
        <f>IF(K6='RFPR cover'!$C$13,AVERAGE(('R9 - RAV'!K16*'R9 - RAV'!K36),'R9 - RAV'!K38),AVERAGE('R9 - RAV'!J38:K38))</f>
        <v>2085.8618030802149</v>
      </c>
    </row>
    <row r="57" spans="2:13">
      <c r="B57" s="200" t="s">
        <v>234</v>
      </c>
      <c r="C57" s="152" t="s">
        <v>7</v>
      </c>
      <c r="D57" s="231">
        <f>D54/D56</f>
        <v>0.62520388021837014</v>
      </c>
      <c r="E57" s="232">
        <f t="shared" ref="E57:K57" si="10">E54/E56</f>
        <v>0.61519194933461074</v>
      </c>
      <c r="F57" s="232">
        <f t="shared" si="10"/>
        <v>0.61780165382103691</v>
      </c>
      <c r="G57" s="232">
        <f t="shared" si="10"/>
        <v>0.61817938342853096</v>
      </c>
      <c r="H57" s="232">
        <f t="shared" si="10"/>
        <v>0.6212944625142337</v>
      </c>
      <c r="I57" s="232">
        <f t="shared" si="10"/>
        <v>0.63343448829325744</v>
      </c>
      <c r="J57" s="232">
        <f t="shared" si="10"/>
        <v>0.64469842540770417</v>
      </c>
      <c r="K57" s="233">
        <f t="shared" si="10"/>
        <v>0.64930889502734646</v>
      </c>
    </row>
    <row r="58" spans="2:13">
      <c r="B58" s="200" t="s">
        <v>115</v>
      </c>
      <c r="C58" s="152" t="s">
        <v>7</v>
      </c>
      <c r="D58" s="878">
        <f>'RFPR cover'!$C$12</f>
        <v>0.65</v>
      </c>
      <c r="E58" s="879">
        <f>'RFPR cover'!$C$12</f>
        <v>0.65</v>
      </c>
      <c r="F58" s="879">
        <f>'RFPR cover'!$C$12</f>
        <v>0.65</v>
      </c>
      <c r="G58" s="879">
        <f>'RFPR cover'!$C$12</f>
        <v>0.65</v>
      </c>
      <c r="H58" s="879">
        <f>'RFPR cover'!$C$12</f>
        <v>0.65</v>
      </c>
      <c r="I58" s="879">
        <f>'RFPR cover'!$C$12</f>
        <v>0.65</v>
      </c>
      <c r="J58" s="879">
        <f>'RFPR cover'!$C$12</f>
        <v>0.65</v>
      </c>
      <c r="K58" s="880">
        <f>'RFPR cover'!$C$12</f>
        <v>0.65</v>
      </c>
    </row>
    <row r="59" spans="2:13">
      <c r="B59" s="200" t="s">
        <v>235</v>
      </c>
      <c r="C59" s="152" t="s">
        <v>7</v>
      </c>
      <c r="D59" s="236">
        <f t="shared" ref="D59:K59" si="11">IF(ISBLANK(D23),"n/a",D57-D58)</f>
        <v>-2.4796119781629877E-2</v>
      </c>
      <c r="E59" s="237">
        <f t="shared" si="11"/>
        <v>-3.4808050665389278E-2</v>
      </c>
      <c r="F59" s="237">
        <f t="shared" si="11"/>
        <v>-3.2198346178963111E-2</v>
      </c>
      <c r="G59" s="237">
        <f t="shared" si="11"/>
        <v>-3.1820616571469063E-2</v>
      </c>
      <c r="H59" s="237">
        <f t="shared" si="11"/>
        <v>-2.8705537485766319E-2</v>
      </c>
      <c r="I59" s="237">
        <f t="shared" si="11"/>
        <v>-1.6565511706742586E-2</v>
      </c>
      <c r="J59" s="237">
        <f t="shared" si="11"/>
        <v>-5.3015745922958546E-3</v>
      </c>
      <c r="K59" s="238">
        <f t="shared" si="11"/>
        <v>-6.9110497265356674E-4</v>
      </c>
    </row>
    <row r="61" spans="2:13">
      <c r="B61" s="200" t="s">
        <v>499</v>
      </c>
      <c r="C61" s="155" t="str">
        <f>'RFPR cover'!$C$14</f>
        <v>£m 12/13</v>
      </c>
      <c r="D61" s="881">
        <f t="shared" ref="D61:K61" si="12">D63*D57</f>
        <v>936.47859333522752</v>
      </c>
      <c r="E61" s="705">
        <f t="shared" si="12"/>
        <v>928.61748060970922</v>
      </c>
      <c r="F61" s="705">
        <f t="shared" si="12"/>
        <v>943.0019064729762</v>
      </c>
      <c r="G61" s="705">
        <f t="shared" si="12"/>
        <v>958.98147381673061</v>
      </c>
      <c r="H61" s="705">
        <f t="shared" si="12"/>
        <v>981.61799069875542</v>
      </c>
      <c r="I61" s="705">
        <f t="shared" si="12"/>
        <v>1011.6044326906525</v>
      </c>
      <c r="J61" s="705">
        <f t="shared" si="12"/>
        <v>1034.7198404821877</v>
      </c>
      <c r="K61" s="706">
        <f t="shared" si="12"/>
        <v>1047.4838163464658</v>
      </c>
      <c r="M61" s="322"/>
    </row>
    <row r="62" spans="2:13">
      <c r="B62" s="200" t="s">
        <v>497</v>
      </c>
      <c r="C62" s="155" t="str">
        <f>'RFPR cover'!$C$14</f>
        <v>£m 12/13</v>
      </c>
      <c r="D62" s="668">
        <f>D63*(1-D57)</f>
        <v>561.39853597519186</v>
      </c>
      <c r="E62" s="669">
        <f t="shared" ref="E62:K62" si="13">E63*(1-E57)</f>
        <v>580.85851564495306</v>
      </c>
      <c r="F62" s="669">
        <f t="shared" si="13"/>
        <v>583.38103640296242</v>
      </c>
      <c r="G62" s="669">
        <f t="shared" si="13"/>
        <v>592.31819667381797</v>
      </c>
      <c r="H62" s="669">
        <f t="shared" si="13"/>
        <v>598.33813304710338</v>
      </c>
      <c r="I62" s="669">
        <f t="shared" si="13"/>
        <v>585.41065156272646</v>
      </c>
      <c r="J62" s="669">
        <f t="shared" si="13"/>
        <v>570.2473809405044</v>
      </c>
      <c r="K62" s="670">
        <f t="shared" si="13"/>
        <v>565.74499411415434</v>
      </c>
      <c r="M62" s="322"/>
    </row>
    <row r="63" spans="2:13">
      <c r="B63" s="200" t="s">
        <v>498</v>
      </c>
      <c r="C63" s="155" t="str">
        <f>'RFPR cover'!$C$14</f>
        <v>£m 12/13</v>
      </c>
      <c r="D63" s="876">
        <f>'R9 - RAV'!D47</f>
        <v>1497.8771293104194</v>
      </c>
      <c r="E63" s="876">
        <f>'R9 - RAV'!E47</f>
        <v>1509.4759962546623</v>
      </c>
      <c r="F63" s="876">
        <f>'R9 - RAV'!F47</f>
        <v>1526.3829428759386</v>
      </c>
      <c r="G63" s="876">
        <f>'R9 - RAV'!G47</f>
        <v>1551.2996704905486</v>
      </c>
      <c r="H63" s="876">
        <f>'R9 - RAV'!H47</f>
        <v>1579.9561237458588</v>
      </c>
      <c r="I63" s="876">
        <f>'R9 - RAV'!I47</f>
        <v>1597.015084253379</v>
      </c>
      <c r="J63" s="876">
        <f>'R9 - RAV'!J47</f>
        <v>1604.9672214226921</v>
      </c>
      <c r="K63" s="876">
        <f>'R9 - RAV'!K47</f>
        <v>1613.22881046062</v>
      </c>
    </row>
    <row r="64" spans="2:13">
      <c r="B64" s="200" t="s">
        <v>234</v>
      </c>
      <c r="C64" s="152" t="s">
        <v>7</v>
      </c>
      <c r="D64" s="231">
        <f>D61/D63</f>
        <v>0.62520388021837014</v>
      </c>
      <c r="E64" s="232">
        <f t="shared" ref="E64:K64" si="14">E61/E63</f>
        <v>0.61519194933461074</v>
      </c>
      <c r="F64" s="232">
        <f t="shared" si="14"/>
        <v>0.61780165382103691</v>
      </c>
      <c r="G64" s="232">
        <f t="shared" si="14"/>
        <v>0.61817938342853096</v>
      </c>
      <c r="H64" s="232">
        <f>H61/H63</f>
        <v>0.6212944625142337</v>
      </c>
      <c r="I64" s="232">
        <f>I61/I63</f>
        <v>0.63343448829325744</v>
      </c>
      <c r="J64" s="232">
        <f t="shared" si="14"/>
        <v>0.64469842540770417</v>
      </c>
      <c r="K64" s="233">
        <f t="shared" si="14"/>
        <v>0.64930889502734646</v>
      </c>
    </row>
    <row r="65" spans="2:11">
      <c r="B65" s="200" t="s">
        <v>115</v>
      </c>
      <c r="C65" s="152" t="s">
        <v>7</v>
      </c>
      <c r="D65" s="878">
        <f>'RFPR cover'!$C$12</f>
        <v>0.65</v>
      </c>
      <c r="E65" s="879">
        <f>'RFPR cover'!$C$12</f>
        <v>0.65</v>
      </c>
      <c r="F65" s="879">
        <f>'RFPR cover'!$C$12</f>
        <v>0.65</v>
      </c>
      <c r="G65" s="879">
        <f>'RFPR cover'!$C$12</f>
        <v>0.65</v>
      </c>
      <c r="H65" s="879">
        <f>'RFPR cover'!$C$12</f>
        <v>0.65</v>
      </c>
      <c r="I65" s="879">
        <f>'RFPR cover'!$C$12</f>
        <v>0.65</v>
      </c>
      <c r="J65" s="879">
        <f>'RFPR cover'!$C$12</f>
        <v>0.65</v>
      </c>
      <c r="K65" s="880">
        <f>'RFPR cover'!$C$12</f>
        <v>0.65</v>
      </c>
    </row>
    <row r="66" spans="2:11">
      <c r="B66" s="200" t="s">
        <v>235</v>
      </c>
      <c r="C66" s="152" t="s">
        <v>7</v>
      </c>
      <c r="D66" s="236">
        <f t="shared" ref="D66:K66" si="15">IF(ISBLANK(D23),"n/a",D64-D65)</f>
        <v>-2.4796119781629877E-2</v>
      </c>
      <c r="E66" s="237">
        <f t="shared" si="15"/>
        <v>-3.4808050665389278E-2</v>
      </c>
      <c r="F66" s="237">
        <f t="shared" si="15"/>
        <v>-3.2198346178963111E-2</v>
      </c>
      <c r="G66" s="237">
        <f t="shared" si="15"/>
        <v>-3.1820616571469063E-2</v>
      </c>
      <c r="H66" s="237">
        <f t="shared" si="15"/>
        <v>-2.8705537485766319E-2</v>
      </c>
      <c r="I66" s="237">
        <f t="shared" si="15"/>
        <v>-1.6565511706742586E-2</v>
      </c>
      <c r="J66" s="237">
        <f t="shared" si="15"/>
        <v>-5.3015745922958546E-3</v>
      </c>
      <c r="K66" s="238">
        <f t="shared" si="15"/>
        <v>-6.9110497265356674E-4</v>
      </c>
    </row>
  </sheetData>
  <conditionalFormatting sqref="D6:K6">
    <cfRule type="expression" dxfId="28" priority="18">
      <formula>AND(D$5="Actuals",E$5="Forecast")</formula>
    </cfRule>
  </conditionalFormatting>
  <conditionalFormatting sqref="D5:K5">
    <cfRule type="expression" dxfId="27" priority="7">
      <formula>AND(D$5="Actuals",E$5="Forecast")</formula>
    </cfRule>
  </conditionalFormatting>
  <pageMargins left="0.70866141732283472" right="0.70866141732283472" top="0.74803149606299213" bottom="0.74803149606299213" header="0.31496062992125984" footer="0.31496062992125984"/>
  <pageSetup paperSize="8" scale="84" orientation="landscape" r:id="rId1"/>
  <headerFooter>
    <oddFooter>&amp;C&amp;1#&amp;"Calibri"&amp;12&amp;K008000Internal Use</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D43:I43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100.125" customWidth="1"/>
    <col min="3" max="3" width="14.125" style="198" customWidth="1"/>
    <col min="4" max="11" width="11.125" customWidth="1"/>
    <col min="12" max="12" width="5" customWidth="1"/>
    <col min="14" max="14" width="9" style="213"/>
  </cols>
  <sheetData>
    <row r="1" spans="1:14" s="31" customFormat="1" ht="20.25">
      <c r="A1" s="912" t="s">
        <v>120</v>
      </c>
      <c r="B1" s="941"/>
      <c r="C1" s="398"/>
      <c r="D1" s="120"/>
      <c r="E1" s="120"/>
      <c r="F1" s="120"/>
      <c r="G1" s="120"/>
      <c r="H1" s="120"/>
      <c r="I1" s="126"/>
      <c r="J1" s="126"/>
      <c r="K1" s="127"/>
      <c r="L1" s="364"/>
      <c r="N1" s="212"/>
    </row>
    <row r="2" spans="1:14" s="31" customFormat="1" ht="20.25">
      <c r="A2" s="915" t="str">
        <f>'RFPR cover'!C5</f>
        <v>SPD</v>
      </c>
      <c r="B2" s="907"/>
      <c r="C2" s="221"/>
      <c r="D2" s="29"/>
      <c r="E2" s="29"/>
      <c r="F2" s="29"/>
      <c r="G2" s="29"/>
      <c r="H2" s="29"/>
      <c r="I2" s="27"/>
      <c r="J2" s="27"/>
      <c r="K2" s="27"/>
      <c r="L2" s="123"/>
      <c r="N2" s="212"/>
    </row>
    <row r="3" spans="1:14" s="31" customFormat="1" ht="20.25">
      <c r="A3" s="918">
        <f>'RFPR cover'!C7</f>
        <v>2021</v>
      </c>
      <c r="B3" s="925"/>
      <c r="C3" s="399"/>
      <c r="D3" s="260"/>
      <c r="E3" s="260"/>
      <c r="F3" s="260"/>
      <c r="G3" s="260"/>
      <c r="H3" s="260"/>
      <c r="I3" s="255"/>
      <c r="J3" s="255"/>
      <c r="K3" s="255"/>
      <c r="L3" s="261"/>
      <c r="N3" s="212"/>
    </row>
    <row r="4" spans="1:14" s="2" customFormat="1" ht="12.75" customHeight="1">
      <c r="C4" s="1"/>
      <c r="N4" s="129"/>
    </row>
    <row r="5" spans="1:14" s="2" customFormat="1">
      <c r="B5" s="38"/>
      <c r="C5" s="222"/>
      <c r="D5" s="391" t="str">
        <f>IF(D6&lt;='RFPR cover'!$C$7-1,"Actuals","Forecast")</f>
        <v>Actuals</v>
      </c>
      <c r="E5" s="391" t="str">
        <f>IF(E6&lt;='RFPR cover'!$C$7-1,"Actuals","Forecast")</f>
        <v>Actuals</v>
      </c>
      <c r="F5" s="391" t="str">
        <f>IF(F6&lt;='RFPR cover'!$C$7-1,"Actuals","Forecast")</f>
        <v>Actuals</v>
      </c>
      <c r="G5" s="391" t="str">
        <f>IF(G6&lt;='RFPR cover'!$C$7-1,"Actuals","Forecast")</f>
        <v>Actuals</v>
      </c>
      <c r="H5" s="391" t="str">
        <f>IF(H6&lt;='RFPR cover'!$C$7-1,"Actuals","Forecast")</f>
        <v>Actuals</v>
      </c>
      <c r="I5" s="391" t="str">
        <f>IF(I6&lt;='RFPR cover'!$C$7-1,"Actuals","Forecast")</f>
        <v>Forecast</v>
      </c>
      <c r="J5" s="391" t="str">
        <f>IF(J6&lt;='RFPR cover'!$C$7-1,"Actuals","Forecast")</f>
        <v>Forecast</v>
      </c>
      <c r="K5" s="391" t="str">
        <f>IF(K6&lt;='RFPR cover'!$C$7-1,"Actuals","Forecast")</f>
        <v>Forecast</v>
      </c>
      <c r="N5" s="129"/>
    </row>
    <row r="6" spans="1:14" s="2" customFormat="1">
      <c r="C6" s="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N6" s="129"/>
    </row>
    <row r="7" spans="1:14" s="2" customFormat="1">
      <c r="A7" s="35"/>
      <c r="B7" s="35"/>
      <c r="C7" s="320"/>
      <c r="D7" s="430"/>
      <c r="E7" s="430"/>
      <c r="F7" s="430"/>
      <c r="G7" s="430"/>
      <c r="H7" s="430"/>
      <c r="I7" s="430"/>
      <c r="J7" s="430"/>
      <c r="K7" s="430"/>
      <c r="L7" s="35"/>
      <c r="M7" s="35"/>
      <c r="N7" s="225"/>
    </row>
    <row r="8" spans="1:14" s="2" customFormat="1">
      <c r="B8" s="12" t="s">
        <v>321</v>
      </c>
      <c r="N8" s="129"/>
    </row>
    <row r="9" spans="1:14" s="2" customFormat="1">
      <c r="B9" s="369" t="s">
        <v>320</v>
      </c>
      <c r="C9" s="369"/>
      <c r="D9" s="369"/>
      <c r="E9" s="369"/>
      <c r="F9" s="369"/>
      <c r="G9" s="369"/>
      <c r="H9" s="369"/>
      <c r="I9" s="369"/>
      <c r="J9" s="369"/>
      <c r="K9" s="369"/>
      <c r="L9" s="369"/>
      <c r="N9" s="129"/>
    </row>
    <row r="10" spans="1:14" s="35" customFormat="1">
      <c r="B10" s="429"/>
      <c r="C10" s="429"/>
      <c r="D10" s="429"/>
      <c r="E10" s="429"/>
      <c r="F10" s="429"/>
      <c r="G10" s="429"/>
      <c r="H10" s="429"/>
      <c r="I10" s="429"/>
      <c r="J10" s="429"/>
      <c r="K10" s="429"/>
      <c r="L10" s="429"/>
      <c r="N10" s="225"/>
    </row>
    <row r="11" spans="1:14" s="2" customFormat="1">
      <c r="B11" s="200" t="s">
        <v>319</v>
      </c>
      <c r="C11" s="210" t="str">
        <f>'RFPR cover'!$C$14</f>
        <v>£m 12/13</v>
      </c>
      <c r="D11" s="714">
        <v>1538.5904167913777</v>
      </c>
      <c r="E11" s="715">
        <v>1557.714561623384</v>
      </c>
      <c r="F11" s="715">
        <v>1577.8510759607968</v>
      </c>
      <c r="G11" s="715">
        <v>1599.7667035182685</v>
      </c>
      <c r="H11" s="715">
        <v>1615.0772157639637</v>
      </c>
      <c r="I11" s="715">
        <v>1614.7142044625612</v>
      </c>
      <c r="J11" s="715">
        <v>1607.4688151865587</v>
      </c>
      <c r="K11" s="716">
        <v>1598.6263639869185</v>
      </c>
      <c r="N11" s="129"/>
    </row>
    <row r="12" spans="1:14" s="2" customFormat="1">
      <c r="N12" s="129"/>
    </row>
    <row r="13" spans="1:14" s="2" customFormat="1">
      <c r="B13" s="12" t="s">
        <v>322</v>
      </c>
      <c r="C13" s="1"/>
      <c r="D13" s="1"/>
      <c r="E13" s="1"/>
      <c r="F13" s="1"/>
      <c r="G13" s="1"/>
      <c r="H13" s="1"/>
      <c r="I13" s="1"/>
      <c r="J13" s="1"/>
      <c r="K13" s="1"/>
      <c r="N13" s="129"/>
    </row>
    <row r="14" spans="1:14" s="2" customFormat="1">
      <c r="B14" s="369" t="s">
        <v>344</v>
      </c>
      <c r="C14" s="321"/>
      <c r="D14" s="321"/>
      <c r="E14" s="321"/>
      <c r="F14" s="321"/>
      <c r="G14" s="321"/>
      <c r="H14" s="321"/>
      <c r="I14" s="321"/>
      <c r="J14" s="321"/>
      <c r="K14" s="321"/>
      <c r="L14" s="293"/>
      <c r="N14" s="129"/>
    </row>
    <row r="15" spans="1:14" s="35" customFormat="1">
      <c r="B15" s="429"/>
      <c r="C15" s="320"/>
      <c r="D15" s="320"/>
      <c r="E15" s="320"/>
      <c r="F15" s="320"/>
      <c r="G15" s="320"/>
      <c r="H15" s="320"/>
      <c r="I15" s="320"/>
      <c r="J15" s="320"/>
      <c r="K15" s="320"/>
      <c r="N15" s="225"/>
    </row>
    <row r="16" spans="1:14" s="2" customFormat="1">
      <c r="B16" s="393" t="s">
        <v>323</v>
      </c>
      <c r="C16" s="210" t="str">
        <f>'RFPR cover'!$C$14</f>
        <v>£m 12/13</v>
      </c>
      <c r="D16" s="584">
        <v>1522.4065505308213</v>
      </c>
      <c r="E16" s="717">
        <f>D29</f>
        <v>1528.7087482214997</v>
      </c>
      <c r="F16" s="717">
        <f t="shared" ref="F16:K16" si="1">E29</f>
        <v>1544.9798786505164</v>
      </c>
      <c r="G16" s="717">
        <f t="shared" si="1"/>
        <v>1561.892907966193</v>
      </c>
      <c r="H16" s="717">
        <f t="shared" si="1"/>
        <v>1593.9917650007244</v>
      </c>
      <c r="I16" s="717">
        <f t="shared" si="1"/>
        <v>1618.5510699075153</v>
      </c>
      <c r="J16" s="717">
        <f t="shared" si="1"/>
        <v>1626.7924528406202</v>
      </c>
      <c r="K16" s="587">
        <f t="shared" si="1"/>
        <v>1633.0584569496145</v>
      </c>
      <c r="N16" s="129"/>
    </row>
    <row r="17" spans="2:14" s="2" customFormat="1">
      <c r="B17" s="393" t="s">
        <v>324</v>
      </c>
      <c r="C17" s="210" t="str">
        <f>'RFPR cover'!$C$14</f>
        <v>£m 12/13</v>
      </c>
      <c r="D17" s="592">
        <v>0</v>
      </c>
      <c r="E17" s="593">
        <v>0</v>
      </c>
      <c r="F17" s="593">
        <v>0</v>
      </c>
      <c r="G17" s="593">
        <v>0</v>
      </c>
      <c r="H17" s="593">
        <v>0</v>
      </c>
      <c r="I17" s="593">
        <v>0</v>
      </c>
      <c r="J17" s="593">
        <v>0</v>
      </c>
      <c r="K17" s="685">
        <v>0</v>
      </c>
      <c r="N17" s="129"/>
    </row>
    <row r="18" spans="2:14" s="2" customFormat="1">
      <c r="B18" s="12" t="s">
        <v>325</v>
      </c>
      <c r="C18" s="210" t="str">
        <f>'RFPR cover'!$C$14</f>
        <v>£m 12/13</v>
      </c>
      <c r="D18" s="718">
        <f>SUM(D16:D17)</f>
        <v>1522.4065505308213</v>
      </c>
      <c r="E18" s="719">
        <f t="shared" ref="E18:K18" si="2">SUM(E16:E17)</f>
        <v>1528.7087482214997</v>
      </c>
      <c r="F18" s="719">
        <f t="shared" si="2"/>
        <v>1544.9798786505164</v>
      </c>
      <c r="G18" s="719">
        <f t="shared" si="2"/>
        <v>1561.892907966193</v>
      </c>
      <c r="H18" s="719">
        <f t="shared" si="2"/>
        <v>1593.9917650007244</v>
      </c>
      <c r="I18" s="719">
        <f t="shared" si="2"/>
        <v>1618.5510699075153</v>
      </c>
      <c r="J18" s="719">
        <f t="shared" si="2"/>
        <v>1626.7924528406202</v>
      </c>
      <c r="K18" s="720">
        <f t="shared" si="2"/>
        <v>1633.0584569496145</v>
      </c>
      <c r="N18" s="129"/>
    </row>
    <row r="19" spans="2:14" s="2" customFormat="1">
      <c r="B19" s="395" t="s">
        <v>326</v>
      </c>
      <c r="C19" s="210" t="str">
        <f>'RFPR cover'!$C$14</f>
        <v>£m 12/13</v>
      </c>
      <c r="D19" s="588">
        <v>155.47644391004582</v>
      </c>
      <c r="E19" s="589">
        <v>160.27143604571083</v>
      </c>
      <c r="F19" s="589">
        <v>163.61468448169003</v>
      </c>
      <c r="G19" s="589">
        <v>166.78837935150088</v>
      </c>
      <c r="H19" s="589">
        <v>160.69090523259598</v>
      </c>
      <c r="I19" s="589">
        <v>155.11768324315685</v>
      </c>
      <c r="J19" s="589">
        <v>151.16182354278232</v>
      </c>
      <c r="K19" s="684">
        <v>151.63655028878398</v>
      </c>
      <c r="N19" s="129"/>
    </row>
    <row r="20" spans="2:14" s="2" customFormat="1">
      <c r="B20" s="395" t="s">
        <v>333</v>
      </c>
      <c r="C20" s="210" t="str">
        <f>'RFPR cover'!$C$14</f>
        <v>£m 12/13</v>
      </c>
      <c r="D20" s="592">
        <v>-9.8816685698778315</v>
      </c>
      <c r="E20" s="593">
        <v>-3.2803298006058412</v>
      </c>
      <c r="F20" s="593">
        <v>-3.7757653641372428</v>
      </c>
      <c r="G20" s="593">
        <v>9.5024124414111952</v>
      </c>
      <c r="H20" s="593">
        <v>8.8603575467213318</v>
      </c>
      <c r="I20" s="593">
        <v>-1.4125207683178758</v>
      </c>
      <c r="J20" s="593">
        <v>0</v>
      </c>
      <c r="K20" s="685">
        <v>0</v>
      </c>
      <c r="N20" s="129"/>
    </row>
    <row r="21" spans="2:14" s="2" customFormat="1">
      <c r="B21" s="394" t="s">
        <v>329</v>
      </c>
      <c r="C21" s="210" t="str">
        <f>'RFPR cover'!$C$14</f>
        <v>£m 12/13</v>
      </c>
      <c r="D21" s="718">
        <f t="shared" ref="D21:K21" si="3">SUM(D19:D20)</f>
        <v>145.59477534016798</v>
      </c>
      <c r="E21" s="719">
        <f t="shared" si="3"/>
        <v>156.99110624510499</v>
      </c>
      <c r="F21" s="719">
        <f t="shared" si="3"/>
        <v>159.83891911755279</v>
      </c>
      <c r="G21" s="719">
        <f t="shared" si="3"/>
        <v>176.29079179291207</v>
      </c>
      <c r="H21" s="719">
        <f t="shared" si="3"/>
        <v>169.55126277931731</v>
      </c>
      <c r="I21" s="719">
        <f t="shared" si="3"/>
        <v>153.70516247483897</v>
      </c>
      <c r="J21" s="719">
        <f t="shared" si="3"/>
        <v>151.16182354278232</v>
      </c>
      <c r="K21" s="720">
        <f t="shared" si="3"/>
        <v>151.63655028878398</v>
      </c>
      <c r="N21" s="129"/>
    </row>
    <row r="22" spans="2:14" s="2" customFormat="1">
      <c r="B22" s="395" t="s">
        <v>327</v>
      </c>
      <c r="C22" s="210" t="str">
        <f>'RFPR cover'!$C$14</f>
        <v>£m 12/13</v>
      </c>
      <c r="D22" s="588">
        <v>-139.29257764948954</v>
      </c>
      <c r="E22" s="589">
        <v>-141.14729121370445</v>
      </c>
      <c r="F22" s="589">
        <v>-143.47817014427736</v>
      </c>
      <c r="G22" s="589">
        <v>-144.87275179402923</v>
      </c>
      <c r="H22" s="589">
        <v>-145.38039298690074</v>
      </c>
      <c r="I22" s="589">
        <v>-145.60350286532321</v>
      </c>
      <c r="J22" s="589">
        <v>-145.07199490623694</v>
      </c>
      <c r="K22" s="684">
        <v>-142.78570728406905</v>
      </c>
      <c r="N22" s="129"/>
    </row>
    <row r="23" spans="2:14" s="2" customFormat="1">
      <c r="B23" s="395" t="s">
        <v>328</v>
      </c>
      <c r="C23" s="210" t="str">
        <f>'RFPR cover'!$C$14</f>
        <v>£m 12/13</v>
      </c>
      <c r="D23" s="592">
        <v>0</v>
      </c>
      <c r="E23" s="593">
        <v>0.42731539761633863</v>
      </c>
      <c r="F23" s="593">
        <v>0.55228034240132307</v>
      </c>
      <c r="G23" s="593">
        <v>0.68081703564854834</v>
      </c>
      <c r="H23" s="593">
        <v>0.38843511437435774</v>
      </c>
      <c r="I23" s="593">
        <v>0.13972332358919753</v>
      </c>
      <c r="J23" s="593">
        <v>0.17617547244901369</v>
      </c>
      <c r="K23" s="685">
        <v>0.17617547244901369</v>
      </c>
      <c r="N23" s="129"/>
    </row>
    <row r="24" spans="2:14" s="2" customFormat="1">
      <c r="B24" s="394" t="s">
        <v>330</v>
      </c>
      <c r="C24" s="210" t="str">
        <f>'RFPR cover'!$C$14</f>
        <v>£m 12/13</v>
      </c>
      <c r="D24" s="718">
        <f t="shared" ref="D24:K24" si="4">SUM(D22:D23)</f>
        <v>-139.29257764948954</v>
      </c>
      <c r="E24" s="719">
        <f t="shared" si="4"/>
        <v>-140.71997581608812</v>
      </c>
      <c r="F24" s="719">
        <f t="shared" si="4"/>
        <v>-142.92588980187602</v>
      </c>
      <c r="G24" s="719">
        <f t="shared" si="4"/>
        <v>-144.19193475838068</v>
      </c>
      <c r="H24" s="719">
        <f t="shared" si="4"/>
        <v>-144.9919578725264</v>
      </c>
      <c r="I24" s="719">
        <f t="shared" si="4"/>
        <v>-145.463779541734</v>
      </c>
      <c r="J24" s="719">
        <f t="shared" si="4"/>
        <v>-144.89581943378792</v>
      </c>
      <c r="K24" s="720">
        <f t="shared" si="4"/>
        <v>-142.60953181162003</v>
      </c>
      <c r="N24" s="129"/>
    </row>
    <row r="25" spans="2:14" s="2" customFormat="1">
      <c r="B25" s="396" t="s">
        <v>266</v>
      </c>
      <c r="C25" s="210" t="str">
        <f>'RFPR cover'!$C$14</f>
        <v>£m 12/13</v>
      </c>
      <c r="D25" s="721">
        <v>0</v>
      </c>
      <c r="E25" s="722">
        <v>0</v>
      </c>
      <c r="F25" s="722">
        <v>0</v>
      </c>
      <c r="G25" s="722">
        <v>0</v>
      </c>
      <c r="H25" s="722">
        <v>0</v>
      </c>
      <c r="I25" s="722">
        <v>0</v>
      </c>
      <c r="J25" s="722">
        <v>0</v>
      </c>
      <c r="K25" s="723">
        <v>0</v>
      </c>
      <c r="N25" s="129"/>
    </row>
    <row r="26" spans="2:14" s="2" customFormat="1">
      <c r="B26" s="396" t="s">
        <v>266</v>
      </c>
      <c r="C26" s="210" t="str">
        <f>'RFPR cover'!$C$14</f>
        <v>£m 12/13</v>
      </c>
      <c r="D26" s="721">
        <v>0</v>
      </c>
      <c r="E26" s="722">
        <v>0</v>
      </c>
      <c r="F26" s="722">
        <v>0</v>
      </c>
      <c r="G26" s="722">
        <v>0</v>
      </c>
      <c r="H26" s="722">
        <v>0</v>
      </c>
      <c r="I26" s="722">
        <v>0</v>
      </c>
      <c r="J26" s="722">
        <v>0</v>
      </c>
      <c r="K26" s="723">
        <v>0</v>
      </c>
      <c r="N26" s="129"/>
    </row>
    <row r="27" spans="2:14" s="2" customFormat="1">
      <c r="B27" s="396" t="s">
        <v>266</v>
      </c>
      <c r="C27" s="210" t="str">
        <f>'RFPR cover'!$C$14</f>
        <v>£m 12/13</v>
      </c>
      <c r="D27" s="721">
        <v>0</v>
      </c>
      <c r="E27" s="722">
        <v>0</v>
      </c>
      <c r="F27" s="722">
        <v>0</v>
      </c>
      <c r="G27" s="722">
        <v>0</v>
      </c>
      <c r="H27" s="722">
        <v>0</v>
      </c>
      <c r="I27" s="722">
        <v>0</v>
      </c>
      <c r="J27" s="722">
        <v>0</v>
      </c>
      <c r="K27" s="723">
        <v>0</v>
      </c>
      <c r="N27" s="129"/>
    </row>
    <row r="28" spans="2:14" s="2" customFormat="1">
      <c r="B28" s="394" t="s">
        <v>331</v>
      </c>
      <c r="C28" s="210" t="str">
        <f>'RFPR cover'!$C$14</f>
        <v>£m 12/13</v>
      </c>
      <c r="D28" s="724">
        <f>SUM(D25:D27)</f>
        <v>0</v>
      </c>
      <c r="E28" s="725">
        <f t="shared" ref="E28:K28" si="5">SUM(E25:E27)</f>
        <v>0</v>
      </c>
      <c r="F28" s="725">
        <f t="shared" si="5"/>
        <v>0</v>
      </c>
      <c r="G28" s="725">
        <f t="shared" si="5"/>
        <v>0</v>
      </c>
      <c r="H28" s="725">
        <f t="shared" si="5"/>
        <v>0</v>
      </c>
      <c r="I28" s="725">
        <f t="shared" si="5"/>
        <v>0</v>
      </c>
      <c r="J28" s="725">
        <f t="shared" si="5"/>
        <v>0</v>
      </c>
      <c r="K28" s="726">
        <f t="shared" si="5"/>
        <v>0</v>
      </c>
      <c r="N28" s="129"/>
    </row>
    <row r="29" spans="2:14" s="2" customFormat="1">
      <c r="B29" s="12" t="s">
        <v>332</v>
      </c>
      <c r="C29" s="210" t="str">
        <f>'RFPR cover'!$C$14</f>
        <v>£m 12/13</v>
      </c>
      <c r="D29" s="727">
        <f>D18+D21+D24+D28</f>
        <v>1528.7087482214997</v>
      </c>
      <c r="E29" s="728">
        <f t="shared" ref="E29:K29" si="6">E18+E21+E24+E28</f>
        <v>1544.9798786505164</v>
      </c>
      <c r="F29" s="728">
        <f t="shared" si="6"/>
        <v>1561.892907966193</v>
      </c>
      <c r="G29" s="728">
        <f t="shared" si="6"/>
        <v>1593.9917650007244</v>
      </c>
      <c r="H29" s="728">
        <f t="shared" si="6"/>
        <v>1618.5510699075153</v>
      </c>
      <c r="I29" s="728">
        <f t="shared" si="6"/>
        <v>1626.7924528406202</v>
      </c>
      <c r="J29" s="728">
        <f t="shared" si="6"/>
        <v>1633.0584569496145</v>
      </c>
      <c r="K29" s="729">
        <f t="shared" si="6"/>
        <v>1642.0854754267787</v>
      </c>
      <c r="N29" s="129"/>
    </row>
    <row r="30" spans="2:14" s="2" customFormat="1">
      <c r="B30" s="12"/>
      <c r="C30" s="210"/>
      <c r="D30" s="210"/>
      <c r="E30" s="210"/>
      <c r="F30" s="210"/>
      <c r="G30" s="210"/>
      <c r="H30" s="210"/>
      <c r="I30" s="210"/>
      <c r="J30" s="210"/>
      <c r="K30" s="210"/>
      <c r="L30" s="210"/>
      <c r="N30" s="129"/>
    </row>
    <row r="31" spans="2:14" s="2" customFormat="1">
      <c r="B31" s="12" t="s">
        <v>495</v>
      </c>
      <c r="C31" s="210" t="str">
        <f>'RFPR cover'!$C$14</f>
        <v>£m 12/13</v>
      </c>
      <c r="D31" s="727">
        <f t="shared" ref="D31:K31" si="7">(D20+D23+D28)</f>
        <v>-9.8816685698778315</v>
      </c>
      <c r="E31" s="727">
        <f t="shared" si="7"/>
        <v>-2.8530144029895026</v>
      </c>
      <c r="F31" s="727">
        <f t="shared" si="7"/>
        <v>-3.2234850217359199</v>
      </c>
      <c r="G31" s="727">
        <f t="shared" si="7"/>
        <v>10.183229477059744</v>
      </c>
      <c r="H31" s="727">
        <f t="shared" si="7"/>
        <v>9.2487926610956901</v>
      </c>
      <c r="I31" s="727">
        <f t="shared" si="7"/>
        <v>-1.2727974447286783</v>
      </c>
      <c r="J31" s="727">
        <f t="shared" si="7"/>
        <v>0.17617547244901369</v>
      </c>
      <c r="K31" s="727">
        <f t="shared" si="7"/>
        <v>0.17617547244901369</v>
      </c>
      <c r="L31" s="210"/>
      <c r="N31" s="129"/>
    </row>
    <row r="32" spans="2:14" s="2" customFormat="1">
      <c r="B32" s="12" t="s">
        <v>496</v>
      </c>
      <c r="C32" s="210"/>
      <c r="D32" s="516" t="str">
        <f>IF(D5="Actuals",IF(ABS((D29-SUM($D$31:D31))-D11)&lt;'RFPR cover'!$F$14,"TRUE","FALSE"),"NA")</f>
        <v>TRUE</v>
      </c>
      <c r="E32" s="516" t="str">
        <f>IF(E5="Actuals",IF(ABS((E29-SUM($D$31:E31))-E11)&lt;'RFPR cover'!$F$14,"TRUE","FALSE"),"NA")</f>
        <v>TRUE</v>
      </c>
      <c r="F32" s="516" t="str">
        <f>IF(F5="Actuals",IF(ABS((F29-SUM($D$31:F31))-F11)&lt;'RFPR cover'!$F$14,"TRUE","FALSE"),"NA")</f>
        <v>TRUE</v>
      </c>
      <c r="G32" s="516" t="str">
        <f>IF(G5="Actuals",IF(ABS((G29-SUM($D$31:G31))-G11)&lt;'RFPR cover'!$F$14,"TRUE","FALSE"),"NA")</f>
        <v>TRUE</v>
      </c>
      <c r="H32" s="516" t="str">
        <f>IF(H5="Actuals",IF(ABS((H29-SUM($D$31:H31))-H11)&lt;'RFPR cover'!$F$14,"TRUE","FALSE"),"NA")</f>
        <v>TRUE</v>
      </c>
      <c r="I32" s="516" t="str">
        <f>IF(I5="Actuals",IF(ABS((I29-SUM($D$31:I31))-I11)&lt;'RFPR cover'!$F$14,"TRUE","FALSE"),"NA")</f>
        <v>NA</v>
      </c>
      <c r="J32" s="516" t="str">
        <f>IF(J5="Actuals",IF(ABS((J29-SUM($D$31:J31))-J11)&lt;'RFPR cover'!$F$14,"TRUE","FALSE"),"NA")</f>
        <v>NA</v>
      </c>
      <c r="K32" s="516" t="str">
        <f>IF(K5="Actuals",IF(ABS((K29-SUM($D$31:K31))-K11)&lt;'RFPR cover'!$F$14,"TRUE","FALSE"),"NA")</f>
        <v>NA</v>
      </c>
      <c r="L32" s="210"/>
      <c r="N32" s="129"/>
    </row>
    <row r="33" spans="2:14" s="35" customFormat="1">
      <c r="B33" s="51"/>
      <c r="C33" s="478"/>
      <c r="D33" s="479"/>
      <c r="E33" s="479"/>
      <c r="F33" s="479"/>
      <c r="G33" s="479"/>
      <c r="H33" s="479"/>
      <c r="I33" s="479"/>
      <c r="J33" s="479"/>
      <c r="K33" s="479"/>
      <c r="N33" s="225"/>
    </row>
    <row r="34" spans="2:14" s="35" customFormat="1">
      <c r="B34" s="51" t="s">
        <v>42</v>
      </c>
      <c r="C34" s="267" t="s">
        <v>127</v>
      </c>
      <c r="D34" s="112">
        <f>Data!C$35</f>
        <v>1.0677429242873198</v>
      </c>
      <c r="E34" s="112">
        <f>Data!D$35</f>
        <v>1.1033002963114336</v>
      </c>
      <c r="F34" s="112">
        <f>Data!E$35</f>
        <v>1.1402881373250229</v>
      </c>
      <c r="G34" s="112">
        <f>Data!F$35</f>
        <v>1.171554102380709</v>
      </c>
      <c r="H34" s="112">
        <f>Data!G$35</f>
        <v>1.1958720752017984</v>
      </c>
      <c r="I34" s="112">
        <f>Data!H$35</f>
        <v>1.2220292224379279</v>
      </c>
      <c r="J34" s="112">
        <f>Data!I$35</f>
        <v>1.2544129968325328</v>
      </c>
      <c r="K34" s="112">
        <f>Data!J$35</f>
        <v>1.2929861964851332</v>
      </c>
      <c r="N34" s="225"/>
    </row>
    <row r="35" spans="2:14" s="31" customFormat="1">
      <c r="B35" s="37" t="s">
        <v>360</v>
      </c>
      <c r="C35" s="267" t="s">
        <v>127</v>
      </c>
      <c r="D35" s="112">
        <f>Data!C$34</f>
        <v>1.0603167467048125</v>
      </c>
      <c r="E35" s="113">
        <f>Data!D$34</f>
        <v>1.0830366813119445</v>
      </c>
      <c r="F35" s="113">
        <f>Data!E$34</f>
        <v>1.1235639113109226</v>
      </c>
      <c r="G35" s="113">
        <f>Data!F$34</f>
        <v>1.1578951670583426</v>
      </c>
      <c r="H35" s="113">
        <f>Data!G$34</f>
        <v>1.1878696229692449</v>
      </c>
      <c r="I35" s="113">
        <f>Data!H$34</f>
        <v>1.202275126868976</v>
      </c>
      <c r="J35" s="113">
        <f>Data!I$34</f>
        <v>1.2341354177310038</v>
      </c>
      <c r="K35" s="114">
        <f>Data!J$34</f>
        <v>1.2720850818262321</v>
      </c>
      <c r="L35" s="234"/>
      <c r="N35" s="212"/>
    </row>
    <row r="36" spans="2:14" s="31" customFormat="1">
      <c r="B36" s="171" t="s">
        <v>493</v>
      </c>
      <c r="C36" s="267" t="s">
        <v>127</v>
      </c>
      <c r="D36" s="872">
        <f>INDEX(Data!$F$14:$F$30,MATCH($D$6-1,Data!$C$14:$C$30,0),0)/IF('RFPR cover'!$C$6="ED1",Data!$E$17,Data!$E$14)</f>
        <v>1.0526208235414325</v>
      </c>
      <c r="E36" s="873"/>
      <c r="F36" s="873"/>
      <c r="G36" s="873"/>
      <c r="H36" s="873"/>
      <c r="I36" s="873"/>
      <c r="J36" s="873"/>
      <c r="K36" s="873"/>
      <c r="L36" s="234"/>
      <c r="N36" s="212"/>
    </row>
    <row r="37" spans="2:14" s="35" customFormat="1">
      <c r="B37" s="51"/>
      <c r="C37" s="478"/>
      <c r="D37" s="479"/>
      <c r="E37" s="479"/>
      <c r="F37" s="479"/>
      <c r="G37" s="479"/>
      <c r="H37" s="479"/>
      <c r="I37" s="479"/>
      <c r="J37" s="479"/>
      <c r="K37" s="479"/>
      <c r="N37" s="225"/>
    </row>
    <row r="38" spans="2:14" s="2" customFormat="1">
      <c r="B38" s="12" t="s">
        <v>332</v>
      </c>
      <c r="C38" s="266" t="s">
        <v>128</v>
      </c>
      <c r="D38" s="727">
        <f t="shared" ref="D38:K38" si="8">D29*D34</f>
        <v>1632.2679492096322</v>
      </c>
      <c r="E38" s="727">
        <f t="shared" si="8"/>
        <v>1704.5767579103174</v>
      </c>
      <c r="F38" s="727">
        <f t="shared" si="8"/>
        <v>1781.0079547259336</v>
      </c>
      <c r="G38" s="727">
        <f t="shared" si="8"/>
        <v>1867.4475914476657</v>
      </c>
      <c r="H38" s="727">
        <f t="shared" si="8"/>
        <v>1935.5800267903915</v>
      </c>
      <c r="I38" s="727">
        <f t="shared" si="8"/>
        <v>1987.9879162127124</v>
      </c>
      <c r="J38" s="727">
        <f t="shared" si="8"/>
        <v>2048.5297529848776</v>
      </c>
      <c r="K38" s="727">
        <f t="shared" si="8"/>
        <v>2123.1938531755522</v>
      </c>
      <c r="N38" s="129"/>
    </row>
    <row r="39" spans="2:14" s="2" customFormat="1">
      <c r="B39" s="12"/>
      <c r="C39" s="210"/>
      <c r="D39" s="210"/>
      <c r="E39" s="210"/>
      <c r="F39" s="210"/>
      <c r="G39" s="210"/>
      <c r="H39" s="210"/>
      <c r="I39" s="210"/>
      <c r="J39" s="210"/>
      <c r="K39" s="210"/>
      <c r="N39" s="129"/>
    </row>
    <row r="40" spans="2:14" s="2" customFormat="1">
      <c r="B40" s="507" t="s">
        <v>335</v>
      </c>
      <c r="C40" s="210" t="s">
        <v>338</v>
      </c>
      <c r="D40" s="409">
        <f>INDEX(Data!$K$73:$T$100,MATCH('RFPR cover'!$C$5,Data!$B$73:$B$100,0),MATCH('R9 - RAV'!D$6,Data!$K$72:$T$72,0))</f>
        <v>2.5499999999999998E-2</v>
      </c>
      <c r="E40" s="410">
        <f>INDEX(Data!$K$73:$T$100,MATCH('RFPR cover'!$C$5,Data!$B$73:$B$100,0),MATCH('R9 - RAV'!E$6,Data!$K$72:$T$72,0))</f>
        <v>2.4199999999999999E-2</v>
      </c>
      <c r="F40" s="410">
        <f>INDEX(Data!$K$73:$T$100,MATCH('RFPR cover'!$C$5,Data!$B$73:$B$100,0),MATCH('R9 - RAV'!F$6,Data!$K$72:$T$72,0))</f>
        <v>2.29E-2</v>
      </c>
      <c r="G40" s="410">
        <f>INDEX(Data!$K$73:$T$100,MATCH('RFPR cover'!$C$5,Data!$B$73:$B$100,0),MATCH('R9 - RAV'!G$6,Data!$K$72:$T$72,0))</f>
        <v>2.0899999999999998E-2</v>
      </c>
      <c r="H40" s="410">
        <f>INDEX(Data!$K$73:$T$100,MATCH('RFPR cover'!$C$5,Data!$B$73:$B$100,0),MATCH('R9 - RAV'!H$6,Data!$K$72:$T$72,0))</f>
        <v>1.9400000000000001E-2</v>
      </c>
      <c r="I40" s="410">
        <f>INDEX(Data!$K$73:$T$100,MATCH('RFPR cover'!$C$5,Data!$B$73:$B$100,0),MATCH('R9 - RAV'!I$6,Data!$K$72:$T$72,0))</f>
        <v>1.78E-2</v>
      </c>
      <c r="J40" s="410">
        <f>INDEX(Data!$K$73:$T$100,MATCH('RFPR cover'!$C$5,Data!$B$73:$B$100,0),MATCH('R9 - RAV'!J$6,Data!$K$72:$T$72,0))</f>
        <v>1.6199999999999999E-2</v>
      </c>
      <c r="K40" s="411">
        <f>INDEX(Data!$K$73:$T$100,MATCH('RFPR cover'!$C$5,Data!$B$73:$B$100,0),MATCH('R9 - RAV'!K$6,Data!$K$72:$T$72,0))</f>
        <v>1.47E-2</v>
      </c>
      <c r="N40" s="129"/>
    </row>
    <row r="41" spans="2:14" s="2" customFormat="1">
      <c r="B41" s="507" t="s">
        <v>336</v>
      </c>
      <c r="C41" s="210" t="s">
        <v>338</v>
      </c>
      <c r="D41" s="412">
        <f>'RFPR cover'!$C$10</f>
        <v>0.06</v>
      </c>
      <c r="E41" s="413">
        <f>'RFPR cover'!$C$10</f>
        <v>0.06</v>
      </c>
      <c r="F41" s="413">
        <f>'RFPR cover'!$C$10</f>
        <v>0.06</v>
      </c>
      <c r="G41" s="413">
        <f>'RFPR cover'!$C$10</f>
        <v>0.06</v>
      </c>
      <c r="H41" s="413">
        <f>'RFPR cover'!$C$10</f>
        <v>0.06</v>
      </c>
      <c r="I41" s="413">
        <f>'RFPR cover'!$C$10</f>
        <v>0.06</v>
      </c>
      <c r="J41" s="413">
        <f>'RFPR cover'!$C$10</f>
        <v>0.06</v>
      </c>
      <c r="K41" s="414">
        <f>'RFPR cover'!$C$10</f>
        <v>0.06</v>
      </c>
      <c r="N41" s="129"/>
    </row>
    <row r="42" spans="2:14" s="2" customFormat="1">
      <c r="B42" s="507" t="s">
        <v>337</v>
      </c>
      <c r="C42" s="210" t="s">
        <v>7</v>
      </c>
      <c r="D42" s="415">
        <f>'RFPR cover'!$C$12</f>
        <v>0.65</v>
      </c>
      <c r="E42" s="416">
        <f>'RFPR cover'!$C$12</f>
        <v>0.65</v>
      </c>
      <c r="F42" s="416">
        <f>'RFPR cover'!$C$12</f>
        <v>0.65</v>
      </c>
      <c r="G42" s="416">
        <f>'RFPR cover'!$C$12</f>
        <v>0.65</v>
      </c>
      <c r="H42" s="416">
        <f>'RFPR cover'!$C$12</f>
        <v>0.65</v>
      </c>
      <c r="I42" s="416">
        <f>'RFPR cover'!$C$12</f>
        <v>0.65</v>
      </c>
      <c r="J42" s="416">
        <f>'RFPR cover'!$C$12</f>
        <v>0.65</v>
      </c>
      <c r="K42" s="417">
        <f>'RFPR cover'!$C$12</f>
        <v>0.65</v>
      </c>
      <c r="N42" s="129"/>
    </row>
    <row r="43" spans="2:14">
      <c r="B43" s="200" t="s">
        <v>271</v>
      </c>
      <c r="C43" s="397" t="s">
        <v>338</v>
      </c>
      <c r="D43" s="406">
        <f t="shared" ref="D43:K43" si="9">D40*D42+D41*(1-D42)</f>
        <v>3.7574999999999997E-2</v>
      </c>
      <c r="E43" s="407">
        <f t="shared" si="9"/>
        <v>3.6729999999999999E-2</v>
      </c>
      <c r="F43" s="407">
        <f t="shared" si="9"/>
        <v>3.5885E-2</v>
      </c>
      <c r="G43" s="407">
        <f t="shared" si="9"/>
        <v>3.4584999999999998E-2</v>
      </c>
      <c r="H43" s="407">
        <f t="shared" si="9"/>
        <v>3.3610000000000001E-2</v>
      </c>
      <c r="I43" s="407">
        <f t="shared" si="9"/>
        <v>3.2570000000000002E-2</v>
      </c>
      <c r="J43" s="407">
        <f t="shared" si="9"/>
        <v>3.1529999999999996E-2</v>
      </c>
      <c r="K43" s="408">
        <f t="shared" si="9"/>
        <v>3.0554999999999999E-2</v>
      </c>
      <c r="L43" s="211"/>
    </row>
    <row r="44" spans="2:14">
      <c r="C44" s="223"/>
      <c r="D44" s="218"/>
      <c r="E44" s="218"/>
      <c r="F44" s="218"/>
      <c r="G44" s="218"/>
      <c r="H44" s="218"/>
      <c r="I44" s="218"/>
      <c r="J44" s="218"/>
      <c r="K44" s="218"/>
    </row>
    <row r="45" spans="2:14">
      <c r="B45" s="372" t="s">
        <v>339</v>
      </c>
      <c r="C45" s="397" t="str">
        <f>'RFPR cover'!$C$14</f>
        <v>£m 12/13</v>
      </c>
      <c r="D45" s="95">
        <f t="shared" ref="D45:K45" si="10">D47*D42</f>
        <v>973.62013405177265</v>
      </c>
      <c r="E45" s="96">
        <f t="shared" si="10"/>
        <v>981.15939756553053</v>
      </c>
      <c r="F45" s="96">
        <f t="shared" si="10"/>
        <v>992.14891286936017</v>
      </c>
      <c r="G45" s="96">
        <f t="shared" si="10"/>
        <v>1008.3447858188566</v>
      </c>
      <c r="H45" s="96">
        <f t="shared" si="10"/>
        <v>1026.9714804348082</v>
      </c>
      <c r="I45" s="96">
        <f t="shared" si="10"/>
        <v>1038.0598047646963</v>
      </c>
      <c r="J45" s="96">
        <f t="shared" si="10"/>
        <v>1043.2286939247499</v>
      </c>
      <c r="K45" s="97">
        <f t="shared" si="10"/>
        <v>1048.598726799403</v>
      </c>
    </row>
    <row r="46" spans="2:14">
      <c r="B46" s="372" t="s">
        <v>231</v>
      </c>
      <c r="C46" s="397" t="str">
        <f>'RFPR cover'!$C$14</f>
        <v>£m 12/13</v>
      </c>
      <c r="D46" s="522">
        <f t="shared" ref="D46:K46" si="11">D47*(1-D42)</f>
        <v>524.25699525864673</v>
      </c>
      <c r="E46" s="523">
        <f t="shared" si="11"/>
        <v>528.31659868913175</v>
      </c>
      <c r="F46" s="523">
        <f t="shared" si="11"/>
        <v>534.23403000657845</v>
      </c>
      <c r="G46" s="523">
        <f t="shared" si="11"/>
        <v>542.95488467169196</v>
      </c>
      <c r="H46" s="523">
        <f t="shared" si="11"/>
        <v>552.98464331105049</v>
      </c>
      <c r="I46" s="523">
        <f t="shared" si="11"/>
        <v>558.95527948868255</v>
      </c>
      <c r="J46" s="523">
        <f t="shared" si="11"/>
        <v>561.73852749794219</v>
      </c>
      <c r="K46" s="524">
        <f t="shared" si="11"/>
        <v>564.63008366121699</v>
      </c>
    </row>
    <row r="47" spans="2:14">
      <c r="B47" s="200" t="s">
        <v>230</v>
      </c>
      <c r="C47" s="210" t="str">
        <f>'RFPR cover'!$C$14</f>
        <v>£m 12/13</v>
      </c>
      <c r="D47" s="102">
        <f t="shared" ref="D47:K47" si="12">AVERAGE(D16,D29*(1/(1+D43)))</f>
        <v>1497.8771293104194</v>
      </c>
      <c r="E47" s="103">
        <f t="shared" si="12"/>
        <v>1509.4759962546623</v>
      </c>
      <c r="F47" s="103">
        <f t="shared" si="12"/>
        <v>1526.3829428759386</v>
      </c>
      <c r="G47" s="103">
        <f t="shared" si="12"/>
        <v>1551.2996704905486</v>
      </c>
      <c r="H47" s="103">
        <f t="shared" si="12"/>
        <v>1579.9561237458588</v>
      </c>
      <c r="I47" s="103">
        <f t="shared" si="12"/>
        <v>1597.015084253379</v>
      </c>
      <c r="J47" s="103">
        <f t="shared" si="12"/>
        <v>1604.9672214226921</v>
      </c>
      <c r="K47" s="104">
        <f t="shared" si="12"/>
        <v>1613.22881046062</v>
      </c>
      <c r="N47" s="214"/>
    </row>
    <row r="48" spans="2:14">
      <c r="B48" s="200"/>
      <c r="C48" s="210"/>
      <c r="D48" s="210"/>
      <c r="E48" s="210"/>
      <c r="F48" s="210"/>
      <c r="G48" s="210"/>
      <c r="H48" s="210"/>
      <c r="I48" s="210"/>
      <c r="J48" s="210"/>
      <c r="K48" s="210"/>
      <c r="N48" s="214"/>
    </row>
    <row r="49" spans="2:14">
      <c r="B49" s="372" t="s">
        <v>340</v>
      </c>
      <c r="C49" s="397" t="str">
        <f>'RFPR cover'!$C$14</f>
        <v>£m 12/13</v>
      </c>
      <c r="D49" s="730">
        <f>D40*D45</f>
        <v>24.827313418320202</v>
      </c>
      <c r="E49" s="731">
        <f t="shared" ref="D49:K50" si="13">E40*E45</f>
        <v>23.744057421085838</v>
      </c>
      <c r="F49" s="731">
        <f t="shared" si="13"/>
        <v>22.720210104708347</v>
      </c>
      <c r="G49" s="731">
        <f t="shared" si="13"/>
        <v>21.074406023614102</v>
      </c>
      <c r="H49" s="731">
        <f t="shared" si="13"/>
        <v>19.92324672043528</v>
      </c>
      <c r="I49" s="731">
        <f t="shared" si="13"/>
        <v>18.477464524811595</v>
      </c>
      <c r="J49" s="731">
        <f t="shared" si="13"/>
        <v>16.900304841580947</v>
      </c>
      <c r="K49" s="732">
        <f t="shared" si="13"/>
        <v>15.414401283951225</v>
      </c>
    </row>
    <row r="50" spans="2:14">
      <c r="B50" s="372" t="s">
        <v>228</v>
      </c>
      <c r="C50" s="397" t="str">
        <f>'RFPR cover'!$C$14</f>
        <v>£m 12/13</v>
      </c>
      <c r="D50" s="92">
        <f t="shared" si="13"/>
        <v>31.455419715518801</v>
      </c>
      <c r="E50" s="93">
        <f t="shared" si="13"/>
        <v>31.698995921347905</v>
      </c>
      <c r="F50" s="93">
        <f t="shared" si="13"/>
        <v>32.054041800394707</v>
      </c>
      <c r="G50" s="93">
        <f t="shared" si="13"/>
        <v>32.577293080301516</v>
      </c>
      <c r="H50" s="93">
        <f t="shared" si="13"/>
        <v>33.179078598663025</v>
      </c>
      <c r="I50" s="93">
        <f t="shared" si="13"/>
        <v>33.537316769320952</v>
      </c>
      <c r="J50" s="93">
        <f t="shared" si="13"/>
        <v>33.70431164987653</v>
      </c>
      <c r="K50" s="94">
        <f t="shared" si="13"/>
        <v>33.877805019673019</v>
      </c>
      <c r="N50" s="214"/>
    </row>
    <row r="51" spans="2:14">
      <c r="B51" s="200" t="s">
        <v>342</v>
      </c>
      <c r="C51" s="397" t="str">
        <f>'RFPR cover'!$C$14</f>
        <v>£m 12/13</v>
      </c>
      <c r="D51" s="102">
        <f>SUM(D49:D50)</f>
        <v>56.282733133839002</v>
      </c>
      <c r="E51" s="103">
        <f t="shared" ref="E51:K51" si="14">SUM(E49:E50)</f>
        <v>55.443053342433743</v>
      </c>
      <c r="F51" s="103">
        <f t="shared" si="14"/>
        <v>54.774251905103057</v>
      </c>
      <c r="G51" s="103">
        <f t="shared" si="14"/>
        <v>53.651699103915618</v>
      </c>
      <c r="H51" s="103">
        <f t="shared" si="14"/>
        <v>53.102325319098306</v>
      </c>
      <c r="I51" s="103">
        <f t="shared" si="14"/>
        <v>52.014781294132547</v>
      </c>
      <c r="J51" s="103">
        <f t="shared" si="14"/>
        <v>50.604616491457477</v>
      </c>
      <c r="K51" s="104">
        <f t="shared" si="14"/>
        <v>49.292206303624241</v>
      </c>
      <c r="N51" s="214"/>
    </row>
    <row r="53" spans="2:14" s="31" customFormat="1">
      <c r="B53" s="372" t="s">
        <v>339</v>
      </c>
      <c r="C53" s="266" t="s">
        <v>128</v>
      </c>
      <c r="D53" s="95">
        <f t="shared" ref="D53:K54" si="15">D$35*D45</f>
        <v>1032.345733064079</v>
      </c>
      <c r="E53" s="96">
        <f t="shared" si="15"/>
        <v>1062.631617777399</v>
      </c>
      <c r="F53" s="96">
        <f t="shared" si="15"/>
        <v>1114.742713146378</v>
      </c>
      <c r="G53" s="96">
        <f t="shared" si="15"/>
        <v>1167.5575542281338</v>
      </c>
      <c r="H53" s="96">
        <f t="shared" si="15"/>
        <v>1219.9082252642629</v>
      </c>
      <c r="I53" s="96">
        <f t="shared" si="15"/>
        <v>1248.0334834710598</v>
      </c>
      <c r="J53" s="96">
        <f t="shared" si="15"/>
        <v>1287.4854799657908</v>
      </c>
      <c r="K53" s="97">
        <f t="shared" si="15"/>
        <v>1333.9067971835016</v>
      </c>
      <c r="L53" s="234"/>
      <c r="N53" s="212"/>
    </row>
    <row r="54" spans="2:14" s="31" customFormat="1">
      <c r="B54" s="372" t="s">
        <v>231</v>
      </c>
      <c r="C54" s="266" t="s">
        <v>128</v>
      </c>
      <c r="D54" s="522">
        <f t="shared" si="15"/>
        <v>555.87847164988864</v>
      </c>
      <c r="E54" s="523">
        <f t="shared" si="15"/>
        <v>572.18625572629162</v>
      </c>
      <c r="F54" s="523">
        <f t="shared" si="15"/>
        <v>600.24607630958803</v>
      </c>
      <c r="G54" s="523">
        <f t="shared" si="15"/>
        <v>628.68483689207187</v>
      </c>
      <c r="H54" s="523">
        <f t="shared" si="15"/>
        <v>656.87365975767989</v>
      </c>
      <c r="I54" s="523">
        <f t="shared" si="15"/>
        <v>672.01802956133974</v>
      </c>
      <c r="J54" s="523">
        <f t="shared" si="15"/>
        <v>693.26141228927179</v>
      </c>
      <c r="K54" s="524">
        <f t="shared" si="15"/>
        <v>718.25750617573146</v>
      </c>
      <c r="L54" s="234"/>
      <c r="N54" s="212"/>
    </row>
    <row r="55" spans="2:14">
      <c r="B55" s="200" t="s">
        <v>341</v>
      </c>
      <c r="C55" s="266" t="s">
        <v>128</v>
      </c>
      <c r="D55" s="733">
        <f>SUM(D53:D54)</f>
        <v>1588.2242047139675</v>
      </c>
      <c r="E55" s="734">
        <f t="shared" ref="E55:K55" si="16">SUM(E53:E54)</f>
        <v>1634.8178735036906</v>
      </c>
      <c r="F55" s="734">
        <f t="shared" si="16"/>
        <v>1714.9887894559661</v>
      </c>
      <c r="G55" s="734">
        <f t="shared" si="16"/>
        <v>1796.2423911202056</v>
      </c>
      <c r="H55" s="734">
        <f t="shared" si="16"/>
        <v>1876.7818850219428</v>
      </c>
      <c r="I55" s="734">
        <f t="shared" si="16"/>
        <v>1920.0515130323995</v>
      </c>
      <c r="J55" s="734">
        <f t="shared" si="16"/>
        <v>1980.7468922550624</v>
      </c>
      <c r="K55" s="735">
        <f t="shared" si="16"/>
        <v>2052.1643033592331</v>
      </c>
    </row>
    <row r="56" spans="2:14" s="31" customFormat="1">
      <c r="B56" s="200"/>
      <c r="C56" s="210"/>
      <c r="D56" s="210"/>
      <c r="E56" s="210"/>
      <c r="F56" s="210"/>
      <c r="G56" s="210"/>
      <c r="H56" s="210"/>
      <c r="I56" s="210"/>
      <c r="J56" s="210"/>
      <c r="K56" s="210"/>
      <c r="L56" s="234"/>
      <c r="N56" s="212"/>
    </row>
    <row r="57" spans="2:14" s="31" customFormat="1">
      <c r="B57" s="372" t="s">
        <v>340</v>
      </c>
      <c r="C57" s="266" t="s">
        <v>128</v>
      </c>
      <c r="D57" s="95">
        <f t="shared" ref="D57:K58" si="17">D$35*D49</f>
        <v>26.324816193134012</v>
      </c>
      <c r="E57" s="96">
        <f t="shared" si="17"/>
        <v>25.715685150213055</v>
      </c>
      <c r="F57" s="96">
        <f t="shared" si="17"/>
        <v>25.527608131052055</v>
      </c>
      <c r="G57" s="96">
        <f t="shared" si="17"/>
        <v>24.401952883367994</v>
      </c>
      <c r="H57" s="96">
        <f t="shared" si="17"/>
        <v>23.666219570126703</v>
      </c>
      <c r="I57" s="96">
        <f t="shared" si="17"/>
        <v>22.214996005784862</v>
      </c>
      <c r="J57" s="96">
        <f t="shared" si="17"/>
        <v>20.85726477544581</v>
      </c>
      <c r="K57" s="97">
        <f t="shared" si="17"/>
        <v>19.608429918597473</v>
      </c>
      <c r="L57" s="234"/>
      <c r="N57" s="212"/>
    </row>
    <row r="58" spans="2:14">
      <c r="B58" s="372" t="s">
        <v>237</v>
      </c>
      <c r="C58" s="266" t="s">
        <v>128</v>
      </c>
      <c r="D58" s="736">
        <f t="shared" si="17"/>
        <v>33.352708298993313</v>
      </c>
      <c r="E58" s="737">
        <f t="shared" si="17"/>
        <v>34.331175343577499</v>
      </c>
      <c r="F58" s="737">
        <f t="shared" si="17"/>
        <v>36.014764578575281</v>
      </c>
      <c r="G58" s="737">
        <f t="shared" si="17"/>
        <v>37.721090213524313</v>
      </c>
      <c r="H58" s="737">
        <f t="shared" si="17"/>
        <v>39.412419585460789</v>
      </c>
      <c r="I58" s="737">
        <f t="shared" si="17"/>
        <v>40.321081773680383</v>
      </c>
      <c r="J58" s="737">
        <f t="shared" si="17"/>
        <v>41.595684737356308</v>
      </c>
      <c r="K58" s="738">
        <f t="shared" si="17"/>
        <v>43.095450370543894</v>
      </c>
    </row>
    <row r="59" spans="2:14">
      <c r="B59" s="200" t="s">
        <v>342</v>
      </c>
      <c r="C59" s="266" t="s">
        <v>128</v>
      </c>
      <c r="D59" s="102">
        <f t="shared" ref="D59:K59" si="18">SUM(D57:D58)</f>
        <v>59.677524492127326</v>
      </c>
      <c r="E59" s="103">
        <f t="shared" si="18"/>
        <v>60.046860493790554</v>
      </c>
      <c r="F59" s="103">
        <f t="shared" si="18"/>
        <v>61.542372709627337</v>
      </c>
      <c r="G59" s="103">
        <f t="shared" si="18"/>
        <v>62.123043096892303</v>
      </c>
      <c r="H59" s="103">
        <f t="shared" si="18"/>
        <v>63.078639155587496</v>
      </c>
      <c r="I59" s="103">
        <f t="shared" si="18"/>
        <v>62.536077779465245</v>
      </c>
      <c r="J59" s="103">
        <f t="shared" si="18"/>
        <v>62.452949512802121</v>
      </c>
      <c r="K59" s="104">
        <f t="shared" si="18"/>
        <v>62.703880289141367</v>
      </c>
    </row>
    <row r="60" spans="2:14">
      <c r="B60" s="14"/>
      <c r="C60" s="235"/>
      <c r="D60" s="235"/>
      <c r="E60" s="235"/>
      <c r="F60" s="235"/>
      <c r="G60" s="235"/>
      <c r="H60" s="235"/>
      <c r="I60" s="235"/>
      <c r="J60" s="235"/>
      <c r="K60" s="235"/>
    </row>
    <row r="61" spans="2:14">
      <c r="B61" s="14"/>
      <c r="C61" s="235"/>
      <c r="D61" s="235"/>
      <c r="E61" s="235"/>
      <c r="F61" s="235"/>
      <c r="G61" s="235"/>
      <c r="H61" s="235"/>
      <c r="I61" s="235"/>
      <c r="J61" s="235"/>
      <c r="K61" s="235"/>
    </row>
    <row r="62" spans="2:14">
      <c r="B62" s="14"/>
      <c r="C62" s="235"/>
      <c r="D62" s="235"/>
      <c r="E62" s="235"/>
      <c r="F62" s="235"/>
      <c r="G62" s="235"/>
      <c r="H62" s="235"/>
      <c r="I62" s="235"/>
      <c r="J62" s="235"/>
      <c r="K62" s="235"/>
    </row>
    <row r="63" spans="2:14">
      <c r="B63" s="14"/>
      <c r="C63" s="235"/>
      <c r="D63" s="235"/>
      <c r="E63" s="235"/>
      <c r="F63" s="235"/>
      <c r="G63" s="235"/>
      <c r="H63" s="235"/>
      <c r="I63" s="235"/>
      <c r="J63" s="235"/>
      <c r="K63" s="235"/>
    </row>
  </sheetData>
  <conditionalFormatting sqref="D6:K6">
    <cfRule type="expression" dxfId="24" priority="13">
      <formula>AND(D$5="Actuals",E$5="Forecast")</formula>
    </cfRule>
  </conditionalFormatting>
  <conditionalFormatting sqref="D5:K5">
    <cfRule type="expression" dxfId="2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headerFooter>
    <oddFooter>&amp;C&amp;1#&amp;"Calibri"&amp;12&amp;K008000Internal Use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926" t="s">
        <v>259</v>
      </c>
      <c r="B1" s="922"/>
      <c r="C1" s="256"/>
      <c r="D1" s="256"/>
      <c r="E1" s="256"/>
      <c r="F1" s="256"/>
      <c r="G1" s="256"/>
      <c r="H1" s="256"/>
      <c r="I1" s="257"/>
      <c r="J1" s="257"/>
      <c r="K1" s="258"/>
      <c r="L1" s="259"/>
    </row>
    <row r="2" spans="1:13" s="31" customFormat="1" ht="20.25">
      <c r="A2" s="915" t="str">
        <f>'RFPR cover'!C5</f>
        <v>SPD</v>
      </c>
      <c r="B2" s="907"/>
      <c r="C2" s="29"/>
      <c r="D2" s="29"/>
      <c r="E2" s="29"/>
      <c r="F2" s="29"/>
      <c r="G2" s="29"/>
      <c r="H2" s="29"/>
      <c r="I2" s="27"/>
      <c r="J2" s="27"/>
      <c r="K2" s="27"/>
      <c r="L2" s="123"/>
    </row>
    <row r="3" spans="1:13" s="31" customFormat="1" ht="20.25">
      <c r="A3" s="918">
        <f>'RFPR cover'!C7</f>
        <v>2021</v>
      </c>
      <c r="B3" s="925"/>
      <c r="C3" s="260"/>
      <c r="D3" s="260"/>
      <c r="E3" s="260"/>
      <c r="F3" s="260"/>
      <c r="G3" s="260"/>
      <c r="H3" s="260"/>
      <c r="I3" s="255"/>
      <c r="J3" s="255"/>
      <c r="K3" s="255"/>
      <c r="L3" s="261"/>
    </row>
    <row r="4" spans="1:13" s="31" customFormat="1" ht="12.75" customHeight="1">
      <c r="A4" s="262"/>
      <c r="B4" s="263"/>
      <c r="C4" s="262"/>
      <c r="D4" s="262"/>
      <c r="E4" s="262"/>
      <c r="F4" s="262"/>
      <c r="G4" s="262"/>
      <c r="H4" s="262"/>
      <c r="I4" s="264"/>
      <c r="J4" s="264"/>
      <c r="K4" s="264"/>
      <c r="L4" s="265"/>
      <c r="M4" s="263"/>
    </row>
    <row r="5" spans="1:13" s="2" customFormat="1">
      <c r="B5" s="3"/>
      <c r="C5" s="3"/>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Actuals</v>
      </c>
      <c r="I5" s="390" t="str">
        <f>IF(I6&lt;=('RFPR cover'!$C$7-1),"Actuals","Forecast")</f>
        <v>Forecast</v>
      </c>
      <c r="J5" s="390" t="str">
        <f>IF(J6&lt;=('RFPR cover'!$C$7-1),"Actuals","Forecast")</f>
        <v>Forecast</v>
      </c>
      <c r="K5" s="390" t="str">
        <f>IF(K6&lt;=('RFPR cover'!$C$7-1),"Actuals","Forecast")</f>
        <v>Forecast</v>
      </c>
    </row>
    <row r="6" spans="1:13"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3" s="35" customFormat="1">
      <c r="D7" s="430"/>
      <c r="E7" s="430"/>
      <c r="F7" s="430"/>
      <c r="G7" s="430"/>
      <c r="H7" s="430"/>
      <c r="I7" s="430"/>
      <c r="J7" s="430"/>
      <c r="K7" s="430"/>
    </row>
    <row r="8" spans="1:13" s="2" customFormat="1">
      <c r="B8" s="369" t="s">
        <v>350</v>
      </c>
      <c r="C8" s="293"/>
      <c r="D8" s="293"/>
      <c r="E8" s="293"/>
      <c r="F8" s="293"/>
      <c r="G8" s="293"/>
      <c r="H8" s="293"/>
      <c r="I8" s="293"/>
      <c r="J8" s="293"/>
      <c r="K8" s="293"/>
      <c r="L8" s="293"/>
    </row>
    <row r="9" spans="1:13" s="2" customFormat="1">
      <c r="B9" s="369" t="s">
        <v>455</v>
      </c>
      <c r="C9" s="293"/>
      <c r="D9" s="293"/>
      <c r="E9" s="293"/>
      <c r="F9" s="293"/>
      <c r="G9" s="293"/>
      <c r="H9" s="293"/>
      <c r="I9" s="293"/>
      <c r="J9" s="293"/>
      <c r="K9" s="293"/>
      <c r="L9" s="293"/>
    </row>
    <row r="10" spans="1:13" s="2" customFormat="1">
      <c r="B10" s="369" t="s">
        <v>351</v>
      </c>
      <c r="C10" s="293"/>
      <c r="D10" s="293"/>
      <c r="E10" s="293"/>
      <c r="F10" s="293"/>
      <c r="G10" s="293"/>
      <c r="H10" s="293"/>
      <c r="I10" s="293"/>
      <c r="J10" s="293"/>
      <c r="K10" s="293"/>
      <c r="L10" s="293"/>
    </row>
    <row r="11" spans="1:13" s="35" customFormat="1">
      <c r="B11" s="429"/>
    </row>
    <row r="12" spans="1:13">
      <c r="B12" s="199" t="s">
        <v>517</v>
      </c>
      <c r="C12" s="266" t="s">
        <v>128</v>
      </c>
      <c r="D12" s="640">
        <v>20.9345368</v>
      </c>
      <c r="E12" s="641">
        <v>19.895444569999999</v>
      </c>
      <c r="F12" s="641">
        <v>20.780991789999998</v>
      </c>
      <c r="G12" s="641">
        <v>24.372031310000004</v>
      </c>
      <c r="H12" s="641">
        <v>0</v>
      </c>
      <c r="I12" s="641"/>
      <c r="J12" s="641"/>
      <c r="K12" s="642"/>
    </row>
    <row r="13" spans="1:13">
      <c r="B13" s="14"/>
      <c r="C13" s="14"/>
      <c r="D13" s="739"/>
      <c r="E13" s="739"/>
      <c r="F13" s="739"/>
      <c r="G13" s="739"/>
      <c r="H13" s="739"/>
      <c r="I13" s="739"/>
      <c r="J13" s="739"/>
      <c r="K13" s="739"/>
    </row>
    <row r="14" spans="1:13">
      <c r="B14" s="14" t="s">
        <v>454</v>
      </c>
      <c r="C14" s="266"/>
      <c r="D14" s="739"/>
      <c r="E14" s="739"/>
      <c r="F14" s="739"/>
      <c r="G14" s="739"/>
      <c r="H14" s="739"/>
      <c r="I14" s="739"/>
      <c r="J14" s="739"/>
      <c r="K14" s="739"/>
    </row>
    <row r="15" spans="1:13">
      <c r="B15" s="370" t="s">
        <v>476</v>
      </c>
      <c r="C15" s="266" t="s">
        <v>128</v>
      </c>
      <c r="D15" s="596">
        <v>0</v>
      </c>
      <c r="E15" s="597">
        <v>0</v>
      </c>
      <c r="F15" s="597">
        <v>0</v>
      </c>
      <c r="G15" s="597">
        <v>0</v>
      </c>
      <c r="H15" s="597">
        <v>0</v>
      </c>
      <c r="I15" s="597"/>
      <c r="J15" s="597"/>
      <c r="K15" s="607"/>
    </row>
    <row r="16" spans="1:13">
      <c r="B16" s="431" t="s">
        <v>22</v>
      </c>
      <c r="C16" s="266" t="s">
        <v>128</v>
      </c>
      <c r="D16" s="596">
        <v>0</v>
      </c>
      <c r="E16" s="597">
        <v>0</v>
      </c>
      <c r="F16" s="597">
        <v>0</v>
      </c>
      <c r="G16" s="597">
        <v>0</v>
      </c>
      <c r="H16" s="597">
        <v>0</v>
      </c>
      <c r="I16" s="597"/>
      <c r="J16" s="597"/>
      <c r="K16" s="607"/>
    </row>
    <row r="17" spans="2:12">
      <c r="B17" s="431" t="s">
        <v>22</v>
      </c>
      <c r="C17" s="266" t="s">
        <v>128</v>
      </c>
      <c r="D17" s="596">
        <v>0</v>
      </c>
      <c r="E17" s="597">
        <v>0</v>
      </c>
      <c r="F17" s="597">
        <v>0</v>
      </c>
      <c r="G17" s="597">
        <v>0</v>
      </c>
      <c r="H17" s="597">
        <v>0</v>
      </c>
      <c r="I17" s="597"/>
      <c r="J17" s="597"/>
      <c r="K17" s="607"/>
    </row>
    <row r="18" spans="2:12">
      <c r="B18" s="431" t="s">
        <v>22</v>
      </c>
      <c r="C18" s="266" t="s">
        <v>128</v>
      </c>
      <c r="D18" s="596">
        <v>0</v>
      </c>
      <c r="E18" s="597">
        <v>0</v>
      </c>
      <c r="F18" s="597">
        <v>0</v>
      </c>
      <c r="G18" s="597">
        <v>0</v>
      </c>
      <c r="H18" s="597">
        <v>0</v>
      </c>
      <c r="I18" s="597"/>
      <c r="J18" s="597"/>
      <c r="K18" s="607"/>
    </row>
    <row r="19" spans="2:12">
      <c r="B19" s="268" t="s">
        <v>352</v>
      </c>
      <c r="C19" s="266" t="s">
        <v>128</v>
      </c>
      <c r="D19" s="740">
        <f>SUM(D15:D18)</f>
        <v>0</v>
      </c>
      <c r="E19" s="741">
        <f t="shared" ref="E19:K19" si="1">SUM(E15:E18)</f>
        <v>0</v>
      </c>
      <c r="F19" s="741">
        <f t="shared" si="1"/>
        <v>0</v>
      </c>
      <c r="G19" s="741">
        <f t="shared" si="1"/>
        <v>0</v>
      </c>
      <c r="H19" s="741">
        <f t="shared" si="1"/>
        <v>0</v>
      </c>
      <c r="I19" s="741">
        <f t="shared" si="1"/>
        <v>0</v>
      </c>
      <c r="J19" s="741">
        <f t="shared" si="1"/>
        <v>0</v>
      </c>
      <c r="K19" s="742">
        <f t="shared" si="1"/>
        <v>0</v>
      </c>
    </row>
    <row r="20" spans="2:12" s="31" customFormat="1">
      <c r="B20" s="370"/>
      <c r="C20" s="370"/>
      <c r="D20" s="743"/>
      <c r="E20" s="743"/>
      <c r="F20" s="743"/>
      <c r="G20" s="743"/>
      <c r="H20" s="743"/>
      <c r="I20" s="743"/>
      <c r="J20" s="743"/>
      <c r="K20" s="743"/>
      <c r="L20" s="370"/>
    </row>
    <row r="21" spans="2:12">
      <c r="B21" s="14" t="s">
        <v>331</v>
      </c>
      <c r="C21" s="266"/>
      <c r="D21" s="744"/>
      <c r="E21" s="744"/>
      <c r="F21" s="744"/>
      <c r="G21" s="744"/>
      <c r="H21" s="744"/>
      <c r="I21" s="744"/>
      <c r="J21" s="744"/>
      <c r="K21" s="744"/>
      <c r="L21" s="266"/>
    </row>
    <row r="22" spans="2:12">
      <c r="B22" s="370" t="s">
        <v>477</v>
      </c>
      <c r="C22" s="266" t="s">
        <v>128</v>
      </c>
      <c r="D22" s="859">
        <f>('R5 - Output Incentives'!D102)*INDEX(Data!$G$14:$G$30,MATCH('R10 - Tax'!D$6,Data!$C$14:$C$30,0),1)</f>
        <v>1.4297913899999997</v>
      </c>
      <c r="E22" s="860">
        <f>('R5 - Output Incentives'!E102)*INDEX(Data!$G$14:$G$30,MATCH('R10 - Tax'!E$6,Data!$C$14:$C$30,0),1)</f>
        <v>2.2390234200000001</v>
      </c>
      <c r="F22" s="860">
        <f>('R5 - Output Incentives'!F102)*INDEX(Data!$G$14:$G$30,MATCH('R10 - Tax'!F$6,Data!$C$14:$C$30,0),1)</f>
        <v>2.2768498564375976</v>
      </c>
      <c r="G22" s="860">
        <f>('R5 - Output Incentives'!G102)*INDEX(Data!$G$14:$G$30,MATCH('R10 - Tax'!G$6,Data!$C$14:$C$30,0),1)</f>
        <v>3.0246540702128</v>
      </c>
      <c r="H22" s="862">
        <f>('R5 - Output Incentives'!H102)*INDEX(Data!$G$14:$G$30,MATCH('R10 - Tax'!H$6,Data!$C$14:$C$30,0),1)</f>
        <v>2.885907737363107</v>
      </c>
      <c r="I22" s="862">
        <f>('R5 - Output Incentives'!I102)*INDEX(Data!$G$14:$G$30,MATCH('R10 - Tax'!I$6,Data!$C$14:$C$30,0),1)</f>
        <v>2.0620241030909603</v>
      </c>
      <c r="J22" s="862">
        <f>('R5 - Output Incentives'!J102)*INDEX(Data!$G$14:$G$30,MATCH('R10 - Tax'!J$6,Data!$C$14:$C$30,0),1)</f>
        <v>2.3940864854085588</v>
      </c>
      <c r="K22" s="863">
        <f>('R5 - Output Incentives'!K102)*INDEX(Data!$G$14:$G$30,MATCH('R10 - Tax'!K$6,Data!$C$14:$C$30,0),1)</f>
        <v>2.7684589990267328</v>
      </c>
    </row>
    <row r="23" spans="2:12">
      <c r="B23" s="370" t="s">
        <v>478</v>
      </c>
      <c r="C23" s="266" t="s">
        <v>128</v>
      </c>
      <c r="D23" s="600">
        <f>('R4 - Totex'!D77-'R4 - Totex'!D79)*D39</f>
        <v>0</v>
      </c>
      <c r="E23" s="602">
        <f>('R4 - Totex'!E77-'R4 - Totex'!E79)*E39</f>
        <v>0</v>
      </c>
      <c r="F23" s="602">
        <f>('R4 - Totex'!F77-'R4 - Totex'!F79)*F39</f>
        <v>0</v>
      </c>
      <c r="G23" s="602">
        <f>('R4 - Totex'!G77-'R4 - Totex'!G79)*G39</f>
        <v>0</v>
      </c>
      <c r="H23" s="864">
        <f>('R4 - Totex'!H77-'R4 - Totex'!H79)*H39</f>
        <v>0</v>
      </c>
      <c r="I23" s="864">
        <f>('R4 - Totex'!I77-'R4 - Totex'!I79)*I39</f>
        <v>0</v>
      </c>
      <c r="J23" s="864">
        <f>('R4 - Totex'!J77-'R4 - Totex'!J79)*J39</f>
        <v>0</v>
      </c>
      <c r="K23" s="865">
        <f>('R4 - Totex'!K77-'R4 - Totex'!K79)*K39</f>
        <v>0</v>
      </c>
    </row>
    <row r="24" spans="2:12">
      <c r="B24" s="370" t="s">
        <v>479</v>
      </c>
      <c r="C24" s="266" t="s">
        <v>128</v>
      </c>
      <c r="D24" s="598">
        <v>0</v>
      </c>
      <c r="E24" s="599">
        <v>0</v>
      </c>
      <c r="F24" s="599">
        <v>0</v>
      </c>
      <c r="G24" s="599">
        <v>0</v>
      </c>
      <c r="H24" s="599">
        <v>0</v>
      </c>
      <c r="I24" s="599"/>
      <c r="J24" s="599"/>
      <c r="K24" s="608"/>
    </row>
    <row r="25" spans="2:12">
      <c r="B25" s="370" t="s">
        <v>480</v>
      </c>
      <c r="C25" s="266" t="s">
        <v>128</v>
      </c>
      <c r="D25" s="598">
        <v>0</v>
      </c>
      <c r="E25" s="599">
        <v>0</v>
      </c>
      <c r="F25" s="599">
        <v>0</v>
      </c>
      <c r="G25" s="599">
        <v>0</v>
      </c>
      <c r="H25" s="599">
        <v>0</v>
      </c>
      <c r="I25" s="599"/>
      <c r="J25" s="599"/>
      <c r="K25" s="608"/>
    </row>
    <row r="26" spans="2:12">
      <c r="B26" s="370" t="s">
        <v>481</v>
      </c>
      <c r="C26" s="266" t="s">
        <v>128</v>
      </c>
      <c r="D26" s="598">
        <v>0</v>
      </c>
      <c r="E26" s="599">
        <v>0</v>
      </c>
      <c r="F26" s="599">
        <v>0</v>
      </c>
      <c r="G26" s="599">
        <v>0</v>
      </c>
      <c r="H26" s="599">
        <v>0</v>
      </c>
      <c r="I26" s="599"/>
      <c r="J26" s="599"/>
      <c r="K26" s="608"/>
    </row>
    <row r="27" spans="2:12">
      <c r="B27" s="370" t="s">
        <v>482</v>
      </c>
      <c r="C27" s="266" t="s">
        <v>128</v>
      </c>
      <c r="D27" s="598">
        <v>0</v>
      </c>
      <c r="E27" s="599">
        <v>0</v>
      </c>
      <c r="F27" s="599">
        <v>0</v>
      </c>
      <c r="G27" s="599">
        <v>0</v>
      </c>
      <c r="H27" s="599">
        <v>0</v>
      </c>
      <c r="I27" s="599"/>
      <c r="J27" s="599"/>
      <c r="K27" s="608"/>
    </row>
    <row r="28" spans="2:12">
      <c r="B28" s="370" t="s">
        <v>558</v>
      </c>
      <c r="C28" s="266" t="s">
        <v>128</v>
      </c>
      <c r="D28" s="598">
        <v>0</v>
      </c>
      <c r="E28" s="599">
        <v>0</v>
      </c>
      <c r="F28" s="599">
        <v>0</v>
      </c>
      <c r="G28" s="599">
        <v>0</v>
      </c>
      <c r="H28" s="599">
        <v>0</v>
      </c>
      <c r="I28" s="599"/>
      <c r="J28" s="599"/>
      <c r="K28" s="608"/>
    </row>
    <row r="29" spans="2:12">
      <c r="B29" s="431" t="s">
        <v>575</v>
      </c>
      <c r="C29" s="266" t="s">
        <v>128</v>
      </c>
      <c r="D29" s="598">
        <v>-2.1194983999999999</v>
      </c>
      <c r="E29" s="599">
        <v>-0.15299699999999999</v>
      </c>
      <c r="F29" s="599">
        <v>0.85923225000000003</v>
      </c>
      <c r="G29" s="599">
        <v>2.7055777231506855</v>
      </c>
      <c r="H29" s="599">
        <v>0</v>
      </c>
      <c r="I29" s="599"/>
      <c r="J29" s="599"/>
      <c r="K29" s="608"/>
    </row>
    <row r="30" spans="2:12">
      <c r="B30" s="431" t="s">
        <v>576</v>
      </c>
      <c r="C30" s="266" t="s">
        <v>128</v>
      </c>
      <c r="D30" s="598">
        <v>0</v>
      </c>
      <c r="E30" s="599">
        <v>-0.77882523000000048</v>
      </c>
      <c r="F30" s="599">
        <v>0</v>
      </c>
      <c r="G30" s="599">
        <v>0</v>
      </c>
      <c r="H30" s="599">
        <v>0</v>
      </c>
      <c r="I30" s="599"/>
      <c r="J30" s="599"/>
      <c r="K30" s="608"/>
    </row>
    <row r="31" spans="2:12">
      <c r="B31" s="431" t="s">
        <v>577</v>
      </c>
      <c r="C31" s="266" t="s">
        <v>128</v>
      </c>
      <c r="D31" s="598">
        <v>10.331471462742645</v>
      </c>
      <c r="E31" s="599">
        <v>5.4583475380839701</v>
      </c>
      <c r="F31" s="599">
        <v>3.5590250707362436</v>
      </c>
      <c r="G31" s="599">
        <v>6.225024671069038</v>
      </c>
      <c r="H31" s="599">
        <v>0</v>
      </c>
      <c r="I31" s="599"/>
      <c r="J31" s="599"/>
      <c r="K31" s="608"/>
    </row>
    <row r="32" spans="2:12">
      <c r="B32" s="431" t="s">
        <v>22</v>
      </c>
      <c r="C32" s="266" t="s">
        <v>128</v>
      </c>
      <c r="D32" s="598">
        <v>0</v>
      </c>
      <c r="E32" s="599">
        <v>0</v>
      </c>
      <c r="F32" s="599">
        <v>0</v>
      </c>
      <c r="G32" s="599">
        <v>0</v>
      </c>
      <c r="H32" s="599">
        <v>0</v>
      </c>
      <c r="I32" s="599"/>
      <c r="J32" s="599"/>
      <c r="K32" s="608"/>
    </row>
    <row r="33" spans="2:13">
      <c r="B33" s="431" t="s">
        <v>20</v>
      </c>
      <c r="C33" s="266" t="s">
        <v>128</v>
      </c>
      <c r="D33" s="609">
        <v>0</v>
      </c>
      <c r="E33" s="610">
        <v>0</v>
      </c>
      <c r="F33" s="610">
        <v>0</v>
      </c>
      <c r="G33" s="610">
        <v>0</v>
      </c>
      <c r="H33" s="610">
        <v>0</v>
      </c>
      <c r="I33" s="610"/>
      <c r="J33" s="610"/>
      <c r="K33" s="611"/>
    </row>
    <row r="34" spans="2:13">
      <c r="B34" s="14" t="s">
        <v>176</v>
      </c>
      <c r="C34" s="266" t="s">
        <v>128</v>
      </c>
      <c r="D34" s="745">
        <f t="shared" ref="D34:K34" si="2">SUM(D22:D33)</f>
        <v>9.6417644527426454</v>
      </c>
      <c r="E34" s="746">
        <f t="shared" si="2"/>
        <v>6.7655487280839699</v>
      </c>
      <c r="F34" s="746">
        <f t="shared" si="2"/>
        <v>6.6951071771738411</v>
      </c>
      <c r="G34" s="746">
        <f t="shared" si="2"/>
        <v>11.955256464432523</v>
      </c>
      <c r="H34" s="746">
        <f t="shared" si="2"/>
        <v>2.885907737363107</v>
      </c>
      <c r="I34" s="746">
        <f t="shared" si="2"/>
        <v>2.0620241030909603</v>
      </c>
      <c r="J34" s="746">
        <f t="shared" si="2"/>
        <v>2.3940864854085588</v>
      </c>
      <c r="K34" s="747">
        <f t="shared" si="2"/>
        <v>2.7684589990267328</v>
      </c>
    </row>
    <row r="36" spans="2:13" ht="12.75" customHeight="1">
      <c r="B36" s="825" t="s">
        <v>489</v>
      </c>
      <c r="C36" s="266" t="s">
        <v>128</v>
      </c>
      <c r="D36" s="640"/>
      <c r="E36" s="640"/>
      <c r="F36" s="641"/>
      <c r="G36" s="641"/>
      <c r="H36" s="641">
        <v>17.285386656453337</v>
      </c>
      <c r="I36" s="641">
        <v>17.957020225390345</v>
      </c>
      <c r="J36" s="641">
        <v>17.980518707822835</v>
      </c>
      <c r="K36" s="642">
        <v>20.573020628396929</v>
      </c>
    </row>
    <row r="37" spans="2:13" ht="12.75" customHeight="1">
      <c r="B37" s="825" t="s">
        <v>458</v>
      </c>
      <c r="C37" s="266" t="s">
        <v>128</v>
      </c>
      <c r="D37" s="745">
        <f t="shared" ref="D37:K37" si="3">D12+D36-D19-D34</f>
        <v>11.292772347257355</v>
      </c>
      <c r="E37" s="746">
        <f>E12+E36-E19-E34</f>
        <v>13.129895841916028</v>
      </c>
      <c r="F37" s="746">
        <f>F12+F36-F19-F34</f>
        <v>14.085884612826156</v>
      </c>
      <c r="G37" s="746">
        <f>G12+G36-G19-G34</f>
        <v>12.416774845567481</v>
      </c>
      <c r="H37" s="746">
        <f t="shared" si="3"/>
        <v>14.39947891909023</v>
      </c>
      <c r="I37" s="746">
        <f t="shared" si="3"/>
        <v>15.894996122299384</v>
      </c>
      <c r="J37" s="746">
        <f t="shared" si="3"/>
        <v>15.586432222414276</v>
      </c>
      <c r="K37" s="747">
        <f t="shared" si="3"/>
        <v>17.804561629370195</v>
      </c>
    </row>
    <row r="38" spans="2:13" ht="12.75" customHeight="1">
      <c r="B38" s="482"/>
      <c r="C38" s="266"/>
      <c r="D38" s="266"/>
      <c r="E38" s="266"/>
      <c r="F38" s="266"/>
      <c r="G38" s="266"/>
      <c r="H38" s="266"/>
      <c r="I38" s="266"/>
      <c r="J38" s="266"/>
      <c r="K38" s="266"/>
    </row>
    <row r="39" spans="2:13">
      <c r="B39" s="37" t="s">
        <v>466</v>
      </c>
      <c r="C39" s="267" t="s">
        <v>127</v>
      </c>
      <c r="D39" s="112">
        <f>Data!C$34</f>
        <v>1.0603167467048125</v>
      </c>
      <c r="E39" s="112">
        <f>Data!D$34</f>
        <v>1.0830366813119445</v>
      </c>
      <c r="F39" s="112">
        <f>Data!E$34</f>
        <v>1.1235639113109226</v>
      </c>
      <c r="G39" s="112">
        <f>Data!F$34</f>
        <v>1.1578951670583426</v>
      </c>
      <c r="H39" s="112">
        <f>Data!G$34</f>
        <v>1.1878696229692449</v>
      </c>
      <c r="I39" s="112">
        <f>Data!H$34</f>
        <v>1.202275126868976</v>
      </c>
      <c r="J39" s="112">
        <f>Data!I$34</f>
        <v>1.2341354177310038</v>
      </c>
      <c r="K39" s="112">
        <f>Data!J$34</f>
        <v>1.2720850818262321</v>
      </c>
      <c r="L39" s="266"/>
    </row>
    <row r="40" spans="2:13">
      <c r="B40" s="199"/>
      <c r="C40" s="266"/>
      <c r="D40" s="266"/>
      <c r="E40" s="266"/>
      <c r="F40" s="266"/>
      <c r="G40" s="266"/>
      <c r="H40" s="266"/>
      <c r="I40" s="266"/>
      <c r="J40" s="266"/>
      <c r="K40" s="266"/>
    </row>
    <row r="41" spans="2:13">
      <c r="B41" s="545" t="s">
        <v>459</v>
      </c>
      <c r="C41" s="397" t="str">
        <f>'RFPR cover'!$C$14</f>
        <v>£m 12/13</v>
      </c>
      <c r="D41" s="790">
        <f t="shared" ref="D41:K41" si="4">D37/D39</f>
        <v>10.650376297792468</v>
      </c>
      <c r="E41" s="791">
        <f t="shared" si="4"/>
        <v>12.123223588337776</v>
      </c>
      <c r="F41" s="791">
        <f t="shared" si="4"/>
        <v>12.536789826571944</v>
      </c>
      <c r="G41" s="791">
        <f t="shared" si="4"/>
        <v>10.723574291369195</v>
      </c>
      <c r="H41" s="791">
        <f t="shared" si="4"/>
        <v>12.122103840905313</v>
      </c>
      <c r="I41" s="791">
        <f t="shared" si="4"/>
        <v>13.220764338437172</v>
      </c>
      <c r="J41" s="791">
        <f t="shared" si="4"/>
        <v>12.629434337984089</v>
      </c>
      <c r="K41" s="792">
        <f t="shared" si="4"/>
        <v>13.996360686668529</v>
      </c>
    </row>
    <row r="42" spans="2:13">
      <c r="B42" s="825"/>
      <c r="C42" s="825"/>
      <c r="D42" s="825"/>
      <c r="E42" s="825"/>
      <c r="F42" s="825"/>
      <c r="G42" s="825"/>
      <c r="H42" s="825"/>
      <c r="I42" s="825"/>
      <c r="J42" s="825"/>
      <c r="K42" s="825"/>
    </row>
    <row r="43" spans="2:13">
      <c r="B43" s="833" t="s">
        <v>439</v>
      </c>
      <c r="C43" s="210"/>
      <c r="D43" s="210"/>
      <c r="E43" s="210"/>
      <c r="F43" s="210"/>
      <c r="G43" s="210"/>
      <c r="H43" s="210"/>
      <c r="I43" s="210"/>
      <c r="J43" s="210"/>
      <c r="K43" s="210"/>
    </row>
    <row r="44" spans="2:13">
      <c r="B44" s="369" t="s">
        <v>427</v>
      </c>
      <c r="C44" s="432"/>
      <c r="D44" s="432"/>
      <c r="E44" s="432"/>
      <c r="F44" s="432"/>
      <c r="G44" s="432"/>
      <c r="H44" s="432"/>
      <c r="I44" s="432"/>
      <c r="J44" s="432"/>
      <c r="K44" s="432"/>
      <c r="L44" s="432"/>
      <c r="M44" s="432"/>
    </row>
    <row r="46" spans="2:13" ht="12.75" customHeight="1">
      <c r="B46" s="213" t="s">
        <v>115</v>
      </c>
      <c r="C46" s="155" t="s">
        <v>7</v>
      </c>
      <c r="D46" s="896">
        <f>'RFPR cover'!$C$12</f>
        <v>0.65</v>
      </c>
      <c r="E46" s="897">
        <f>'RFPR cover'!$C$12</f>
        <v>0.65</v>
      </c>
      <c r="F46" s="897">
        <f>'RFPR cover'!$C$12</f>
        <v>0.65</v>
      </c>
      <c r="G46" s="897">
        <f>'RFPR cover'!$C$12</f>
        <v>0.65</v>
      </c>
      <c r="H46" s="897">
        <f>'RFPR cover'!$C$12</f>
        <v>0.65</v>
      </c>
      <c r="I46" s="897">
        <f>'RFPR cover'!$C$12</f>
        <v>0.65</v>
      </c>
      <c r="J46" s="897">
        <f>'RFPR cover'!$C$12</f>
        <v>0.65</v>
      </c>
      <c r="K46" s="898">
        <f>'RFPR cover'!$C$12</f>
        <v>0.65</v>
      </c>
    </row>
    <row r="47" spans="2:13" ht="12.75" customHeight="1">
      <c r="B47" s="213" t="s">
        <v>389</v>
      </c>
      <c r="C47" s="155" t="s">
        <v>7</v>
      </c>
      <c r="D47" s="896">
        <f>'R8 - Net Debt'!D57</f>
        <v>0.62520388021837014</v>
      </c>
      <c r="E47" s="897">
        <f>'R8 - Net Debt'!E57</f>
        <v>0.61519194933461074</v>
      </c>
      <c r="F47" s="897">
        <f>'R8 - Net Debt'!F57</f>
        <v>0.61780165382103691</v>
      </c>
      <c r="G47" s="897">
        <f>'R8 - Net Debt'!G57</f>
        <v>0.61817938342853096</v>
      </c>
      <c r="H47" s="897">
        <f>'R8 - Net Debt'!H57</f>
        <v>0.6212944625142337</v>
      </c>
      <c r="I47" s="897">
        <f>'R8 - Net Debt'!I57</f>
        <v>0.63343448829325744</v>
      </c>
      <c r="J47" s="897">
        <f>'R8 - Net Debt'!J57</f>
        <v>0.64469842540770417</v>
      </c>
      <c r="K47" s="898">
        <f>'R8 - Net Debt'!K57</f>
        <v>0.64930889502734646</v>
      </c>
    </row>
    <row r="48" spans="2:13" ht="12.75" customHeight="1">
      <c r="B48" s="213"/>
      <c r="C48" s="155"/>
      <c r="D48" s="155"/>
      <c r="E48" s="155"/>
      <c r="F48" s="155"/>
      <c r="G48" s="155"/>
      <c r="H48" s="155"/>
      <c r="I48" s="155"/>
      <c r="J48" s="155"/>
      <c r="K48" s="155"/>
      <c r="L48" s="155"/>
    </row>
    <row r="49" spans="2:14" ht="12.75" customHeight="1">
      <c r="B49" s="825" t="s">
        <v>459</v>
      </c>
      <c r="C49" s="266" t="s">
        <v>128</v>
      </c>
      <c r="D49" s="790">
        <f>D37</f>
        <v>11.292772347257355</v>
      </c>
      <c r="E49" s="790">
        <f t="shared" ref="E49:K49" si="5">E37</f>
        <v>13.129895841916028</v>
      </c>
      <c r="F49" s="790">
        <f t="shared" si="5"/>
        <v>14.085884612826156</v>
      </c>
      <c r="G49" s="790">
        <f t="shared" si="5"/>
        <v>12.416774845567481</v>
      </c>
      <c r="H49" s="790">
        <f t="shared" si="5"/>
        <v>14.39947891909023</v>
      </c>
      <c r="I49" s="790">
        <f t="shared" si="5"/>
        <v>15.894996122299384</v>
      </c>
      <c r="J49" s="790">
        <f t="shared" si="5"/>
        <v>15.586432222414276</v>
      </c>
      <c r="K49" s="790">
        <f t="shared" si="5"/>
        <v>17.804561629370195</v>
      </c>
    </row>
    <row r="50" spans="2:14">
      <c r="B50" s="213" t="s">
        <v>440</v>
      </c>
      <c r="C50" s="266" t="s">
        <v>128</v>
      </c>
      <c r="D50" s="790">
        <f>D85-D87</f>
        <v>-0.25908925982618758</v>
      </c>
      <c r="E50" s="790">
        <f t="shared" ref="E50:K50" si="6">E85-E87</f>
        <v>-0.19969804331960272</v>
      </c>
      <c r="F50" s="790">
        <f t="shared" si="6"/>
        <v>3.1675240577279773E-2</v>
      </c>
      <c r="G50" s="790">
        <f t="shared" si="6"/>
        <v>-2.8722178164769296E-2</v>
      </c>
      <c r="H50" s="790">
        <f t="shared" si="6"/>
        <v>-8.2598749097489765E-2</v>
      </c>
      <c r="I50" s="790">
        <f t="shared" si="6"/>
        <v>-0.10881838420853107</v>
      </c>
      <c r="J50" s="790">
        <f t="shared" si="6"/>
        <v>-5.2435794644312139E-3</v>
      </c>
      <c r="K50" s="790">
        <f t="shared" si="6"/>
        <v>6.9287055777245143E-4</v>
      </c>
      <c r="L50" s="266"/>
    </row>
    <row r="51" spans="2:14" s="31" customFormat="1">
      <c r="B51" s="834" t="s">
        <v>397</v>
      </c>
      <c r="C51" s="266" t="s">
        <v>128</v>
      </c>
      <c r="D51" s="745">
        <f>SUM(D49:D50)</f>
        <v>11.033683087431168</v>
      </c>
      <c r="E51" s="746">
        <f t="shared" ref="E51:K51" si="7">SUM(E49:E50)</f>
        <v>12.930197798596424</v>
      </c>
      <c r="F51" s="746">
        <f t="shared" si="7"/>
        <v>14.117559853403435</v>
      </c>
      <c r="G51" s="746">
        <f t="shared" si="7"/>
        <v>12.388052667402711</v>
      </c>
      <c r="H51" s="746">
        <f t="shared" si="7"/>
        <v>14.316880169992739</v>
      </c>
      <c r="I51" s="746">
        <f t="shared" si="7"/>
        <v>15.786177738090853</v>
      </c>
      <c r="J51" s="746">
        <f t="shared" si="7"/>
        <v>15.581188642949844</v>
      </c>
      <c r="K51" s="747">
        <f t="shared" si="7"/>
        <v>17.805254499927969</v>
      </c>
      <c r="L51" s="810"/>
    </row>
    <row r="53" spans="2:14">
      <c r="B53" s="834" t="s">
        <v>397</v>
      </c>
      <c r="C53" s="397" t="str">
        <f>'RFPR cover'!$C$14</f>
        <v>£m 12/13</v>
      </c>
      <c r="D53" s="745">
        <f>D51/D39</f>
        <v>10.40602548410272</v>
      </c>
      <c r="E53" s="746">
        <f t="shared" ref="E53:K53" si="8">E51/E39</f>
        <v>11.938836441747599</v>
      </c>
      <c r="F53" s="746">
        <f t="shared" si="8"/>
        <v>12.564981583407851</v>
      </c>
      <c r="G53" s="746">
        <f t="shared" si="8"/>
        <v>10.698768783079753</v>
      </c>
      <c r="H53" s="746">
        <f t="shared" si="8"/>
        <v>12.052568643186373</v>
      </c>
      <c r="I53" s="746">
        <f t="shared" si="8"/>
        <v>13.130253953770127</v>
      </c>
      <c r="J53" s="746">
        <f t="shared" si="8"/>
        <v>12.625185550218097</v>
      </c>
      <c r="K53" s="747">
        <f t="shared" si="8"/>
        <v>13.996905359794308</v>
      </c>
    </row>
    <row r="54" spans="2:14">
      <c r="B54" s="834"/>
      <c r="C54" s="397"/>
      <c r="D54" s="397"/>
      <c r="E54" s="397"/>
      <c r="F54" s="397"/>
      <c r="G54" s="397"/>
      <c r="H54" s="397"/>
      <c r="I54" s="397"/>
      <c r="J54" s="397"/>
      <c r="K54" s="397"/>
    </row>
    <row r="56" spans="2:14">
      <c r="B56" s="793" t="s">
        <v>363</v>
      </c>
      <c r="C56" s="794"/>
      <c r="D56" s="794"/>
      <c r="E56" s="794"/>
      <c r="F56" s="794"/>
      <c r="G56" s="794"/>
      <c r="H56" s="794"/>
      <c r="I56" s="794"/>
      <c r="J56" s="794"/>
      <c r="K56" s="794"/>
      <c r="L56" s="794"/>
      <c r="M56" s="490"/>
    </row>
    <row r="57" spans="2:14" s="31" customFormat="1">
      <c r="B57" s="491"/>
      <c r="C57" s="490"/>
      <c r="D57" s="490"/>
      <c r="E57" s="490"/>
      <c r="F57" s="490"/>
      <c r="G57" s="490"/>
      <c r="H57" s="490"/>
      <c r="I57" s="490"/>
      <c r="J57" s="490"/>
      <c r="K57" s="490"/>
      <c r="L57" s="490"/>
      <c r="M57" s="490"/>
    </row>
    <row r="58" spans="2:14">
      <c r="B58" s="368" t="s">
        <v>460</v>
      </c>
      <c r="C58" s="293"/>
      <c r="D58" s="293"/>
      <c r="E58" s="293"/>
      <c r="F58" s="293"/>
      <c r="G58" s="293"/>
      <c r="H58" s="293"/>
      <c r="I58" s="293"/>
      <c r="J58" s="293"/>
      <c r="K58" s="293"/>
      <c r="L58" s="293"/>
      <c r="M58" s="200"/>
      <c r="N58" s="200"/>
    </row>
    <row r="59" spans="2:14" s="31" customFormat="1">
      <c r="B59" s="373"/>
      <c r="C59" s="35"/>
      <c r="D59" s="35"/>
      <c r="E59" s="35"/>
      <c r="F59" s="35"/>
      <c r="G59" s="35"/>
      <c r="H59" s="35"/>
      <c r="I59" s="35"/>
      <c r="J59" s="35"/>
      <c r="K59" s="35"/>
      <c r="L59" s="35"/>
      <c r="M59" s="37"/>
      <c r="N59" s="37"/>
    </row>
    <row r="60" spans="2:14">
      <c r="B60" s="200" t="s">
        <v>362</v>
      </c>
      <c r="C60" s="210" t="str">
        <f>'RFPR cover'!$C$14</f>
        <v>£m 12/13</v>
      </c>
      <c r="D60" s="584">
        <v>9.7802188066864275</v>
      </c>
      <c r="E60" s="585">
        <v>9.1601838242135294</v>
      </c>
      <c r="F60" s="585">
        <v>8.7875331994487755</v>
      </c>
      <c r="G60" s="585">
        <v>7.9870132132126406</v>
      </c>
      <c r="H60" s="585">
        <v>8.0897396185764858</v>
      </c>
      <c r="I60" s="585">
        <v>10.210101339340119</v>
      </c>
      <c r="J60" s="585">
        <v>10.89925966587651</v>
      </c>
      <c r="K60" s="686">
        <v>11.384367593876158</v>
      </c>
    </row>
    <row r="61" spans="2:14">
      <c r="B61" s="200" t="s">
        <v>365</v>
      </c>
      <c r="C61" s="210" t="str">
        <f>'RFPR cover'!$C$14</f>
        <v>£m 12/13</v>
      </c>
      <c r="D61" s="592">
        <v>0</v>
      </c>
      <c r="E61" s="593">
        <v>0</v>
      </c>
      <c r="F61" s="593">
        <v>0</v>
      </c>
      <c r="G61" s="593">
        <v>0</v>
      </c>
      <c r="H61" s="593">
        <v>3.6030016222410666</v>
      </c>
      <c r="I61" s="593">
        <v>3.1646834765148846</v>
      </c>
      <c r="J61" s="593">
        <v>2.8074377017091194</v>
      </c>
      <c r="K61" s="685">
        <v>-3.8675062123495252E-2</v>
      </c>
    </row>
    <row r="62" spans="2:14">
      <c r="B62" s="200" t="s">
        <v>366</v>
      </c>
      <c r="C62" s="210" t="str">
        <f>'RFPR cover'!$C$14</f>
        <v>£m 12/13</v>
      </c>
      <c r="D62" s="648">
        <f t="shared" ref="D62:K62" si="9">SUM(D60:D61)</f>
        <v>9.7802188066864275</v>
      </c>
      <c r="E62" s="649">
        <f t="shared" si="9"/>
        <v>9.1601838242135294</v>
      </c>
      <c r="F62" s="649">
        <f t="shared" si="9"/>
        <v>8.7875331994487755</v>
      </c>
      <c r="G62" s="649">
        <f t="shared" si="9"/>
        <v>7.9870132132126406</v>
      </c>
      <c r="H62" s="649">
        <f t="shared" si="9"/>
        <v>11.692741240817552</v>
      </c>
      <c r="I62" s="649">
        <f t="shared" si="9"/>
        <v>13.374784815855003</v>
      </c>
      <c r="J62" s="649">
        <f t="shared" si="9"/>
        <v>13.70669736758563</v>
      </c>
      <c r="K62" s="650">
        <f t="shared" si="9"/>
        <v>11.345692531752663</v>
      </c>
    </row>
    <row r="63" spans="2:14">
      <c r="B63" s="200"/>
      <c r="C63" s="210"/>
      <c r="D63" s="210"/>
      <c r="E63" s="210"/>
      <c r="F63" s="210"/>
      <c r="G63" s="210"/>
      <c r="H63" s="210"/>
      <c r="I63" s="210"/>
      <c r="J63" s="210"/>
      <c r="K63" s="210"/>
      <c r="L63" s="210"/>
    </row>
    <row r="64" spans="2:14">
      <c r="B64" s="513" t="s">
        <v>461</v>
      </c>
      <c r="C64" s="293"/>
      <c r="D64" s="293"/>
      <c r="E64" s="293"/>
      <c r="F64" s="293"/>
      <c r="G64" s="293"/>
      <c r="H64" s="293"/>
      <c r="I64" s="293"/>
      <c r="J64" s="293"/>
      <c r="K64" s="293"/>
      <c r="L64" s="293"/>
    </row>
    <row r="65" spans="2:13" s="31" customFormat="1">
      <c r="B65" s="514"/>
      <c r="C65" s="35"/>
      <c r="D65" s="35"/>
      <c r="E65" s="35"/>
      <c r="F65" s="35"/>
      <c r="G65" s="35"/>
      <c r="H65" s="35"/>
      <c r="I65" s="35"/>
      <c r="J65" s="35"/>
      <c r="K65" s="35"/>
      <c r="L65" s="35"/>
    </row>
    <row r="66" spans="2:13">
      <c r="B66" s="200" t="s">
        <v>353</v>
      </c>
      <c r="C66" s="210" t="str">
        <f>'RFPR cover'!$C$14</f>
        <v>£m 12/13</v>
      </c>
      <c r="D66" s="584">
        <v>9.1001475450509233</v>
      </c>
      <c r="E66" s="585">
        <v>8.7019964720780294</v>
      </c>
      <c r="F66" s="585">
        <v>8.2214633579157947</v>
      </c>
      <c r="G66" s="585">
        <v>8.2508802296358326</v>
      </c>
      <c r="H66" s="585">
        <v>8.4900551472638774</v>
      </c>
      <c r="I66" s="585">
        <v>7.6649570790204224</v>
      </c>
      <c r="J66" s="585">
        <v>9.1362962354014083</v>
      </c>
      <c r="K66" s="686">
        <v>9.6195314793235145</v>
      </c>
    </row>
    <row r="67" spans="2:13">
      <c r="B67" s="200" t="s">
        <v>368</v>
      </c>
      <c r="C67" s="210" t="str">
        <f>'RFPR cover'!$C$14</f>
        <v>£m 12/13</v>
      </c>
      <c r="D67" s="592">
        <v>0</v>
      </c>
      <c r="E67" s="593">
        <v>0</v>
      </c>
      <c r="F67" s="593">
        <v>0</v>
      </c>
      <c r="G67" s="593">
        <v>0</v>
      </c>
      <c r="H67" s="593">
        <v>3.57834629045262</v>
      </c>
      <c r="I67" s="593">
        <v>3.386990066666173</v>
      </c>
      <c r="J67" s="593">
        <v>2.898068570763197</v>
      </c>
      <c r="K67" s="685">
        <v>2.5462534438433817</v>
      </c>
    </row>
    <row r="68" spans="2:13">
      <c r="B68" s="14" t="s">
        <v>369</v>
      </c>
      <c r="C68" s="210" t="str">
        <f>'RFPR cover'!$C$14</f>
        <v>£m 12/13</v>
      </c>
      <c r="D68" s="612">
        <f t="shared" ref="D68:K68" si="10">SUM(D66:D67)</f>
        <v>9.1001475450509233</v>
      </c>
      <c r="E68" s="613">
        <f t="shared" si="10"/>
        <v>8.7019964720780294</v>
      </c>
      <c r="F68" s="613">
        <f t="shared" si="10"/>
        <v>8.2214633579157947</v>
      </c>
      <c r="G68" s="613">
        <f t="shared" si="10"/>
        <v>8.2508802296358326</v>
      </c>
      <c r="H68" s="613">
        <f t="shared" si="10"/>
        <v>12.068401437716497</v>
      </c>
      <c r="I68" s="613">
        <f t="shared" si="10"/>
        <v>11.051947145686595</v>
      </c>
      <c r="J68" s="613">
        <f t="shared" si="10"/>
        <v>12.034364806164605</v>
      </c>
      <c r="K68" s="614">
        <f t="shared" si="10"/>
        <v>12.165784923166896</v>
      </c>
    </row>
    <row r="69" spans="2:13" s="31" customFormat="1">
      <c r="B69" s="514"/>
      <c r="C69" s="35"/>
      <c r="D69" s="748"/>
      <c r="E69" s="748"/>
      <c r="F69" s="748"/>
      <c r="G69" s="748"/>
      <c r="H69" s="748"/>
      <c r="I69" s="748"/>
      <c r="J69" s="748"/>
      <c r="K69" s="748"/>
      <c r="L69" s="35"/>
    </row>
    <row r="70" spans="2:13" s="31" customFormat="1">
      <c r="B70" s="515" t="s">
        <v>367</v>
      </c>
      <c r="C70" s="35"/>
      <c r="D70" s="704">
        <f t="shared" ref="D70:K70" si="11">D68-D62</f>
        <v>-0.68007126163550424</v>
      </c>
      <c r="E70" s="705">
        <f t="shared" si="11"/>
        <v>-0.45818735213549999</v>
      </c>
      <c r="F70" s="705">
        <f t="shared" si="11"/>
        <v>-0.56606984153298079</v>
      </c>
      <c r="G70" s="705">
        <f t="shared" si="11"/>
        <v>0.26386701642319199</v>
      </c>
      <c r="H70" s="705">
        <f t="shared" si="11"/>
        <v>0.37566019689894503</v>
      </c>
      <c r="I70" s="705">
        <f t="shared" si="11"/>
        <v>-2.3228376701684077</v>
      </c>
      <c r="J70" s="705">
        <f t="shared" si="11"/>
        <v>-1.6723325614210243</v>
      </c>
      <c r="K70" s="706">
        <f t="shared" si="11"/>
        <v>0.82009239141423329</v>
      </c>
      <c r="L70" s="35"/>
    </row>
    <row r="71" spans="2:13">
      <c r="B71" s="200" t="s">
        <v>364</v>
      </c>
      <c r="C71" s="210" t="str">
        <f>'RFPR cover'!$C$14</f>
        <v>£m 12/13</v>
      </c>
      <c r="D71" s="588">
        <v>0</v>
      </c>
      <c r="E71" s="589">
        <v>0</v>
      </c>
      <c r="F71" s="589">
        <v>0</v>
      </c>
      <c r="G71" s="589">
        <v>0</v>
      </c>
      <c r="H71" s="589">
        <v>0</v>
      </c>
      <c r="I71" s="589">
        <v>0</v>
      </c>
      <c r="J71" s="589">
        <v>0</v>
      </c>
      <c r="K71" s="684">
        <v>0</v>
      </c>
    </row>
    <row r="72" spans="2:13">
      <c r="B72" s="200" t="s">
        <v>415</v>
      </c>
      <c r="C72" s="210" t="str">
        <f>'RFPR cover'!$C$14</f>
        <v>£m 12/13</v>
      </c>
      <c r="D72" s="588">
        <v>0</v>
      </c>
      <c r="E72" s="589">
        <v>0</v>
      </c>
      <c r="F72" s="589">
        <v>0</v>
      </c>
      <c r="G72" s="589">
        <v>0</v>
      </c>
      <c r="H72" s="589">
        <v>0</v>
      </c>
      <c r="I72" s="589">
        <v>0</v>
      </c>
      <c r="J72" s="589">
        <v>0</v>
      </c>
      <c r="K72" s="684">
        <v>0</v>
      </c>
    </row>
    <row r="73" spans="2:13">
      <c r="B73" s="200" t="s">
        <v>331</v>
      </c>
      <c r="C73" s="210" t="str">
        <f>'RFPR cover'!$C$14</f>
        <v>£m 12/13</v>
      </c>
      <c r="D73" s="749">
        <v>-0.68007126163550424</v>
      </c>
      <c r="E73" s="750">
        <v>-0.45818735213549999</v>
      </c>
      <c r="F73" s="750">
        <v>-0.56606984153298079</v>
      </c>
      <c r="G73" s="750">
        <v>0.26386701642319199</v>
      </c>
      <c r="H73" s="750">
        <v>0.37566019689894503</v>
      </c>
      <c r="I73" s="750">
        <v>-2.3228376701684077</v>
      </c>
      <c r="J73" s="750">
        <v>-1.6723325614210243</v>
      </c>
      <c r="K73" s="751">
        <v>0.82009239141423329</v>
      </c>
    </row>
    <row r="74" spans="2:13">
      <c r="B74" s="200" t="s">
        <v>122</v>
      </c>
      <c r="C74" s="210" t="str">
        <f>'RFPR cover'!$C$14</f>
        <v>£m 12/13</v>
      </c>
      <c r="D74" s="516" t="str">
        <f>IF(ABS(D70-SUM(D71:D73))&lt;'RFPR cover'!$F$14,"OK","ERROR")</f>
        <v>OK</v>
      </c>
      <c r="E74" s="517" t="str">
        <f>IF(ABS(E70-SUM(E71:E73))&lt;'RFPR cover'!$F$14,"OK","ERROR")</f>
        <v>OK</v>
      </c>
      <c r="F74" s="517" t="str">
        <f>IF(ABS(F70-SUM(F71:F73))&lt;'RFPR cover'!$F$14,"OK","ERROR")</f>
        <v>OK</v>
      </c>
      <c r="G74" s="517" t="str">
        <f>IF(ABS(G70-SUM(G71:G73))&lt;'RFPR cover'!$F$14,"OK","ERROR")</f>
        <v>OK</v>
      </c>
      <c r="H74" s="517" t="str">
        <f>IF(ABS(H70-SUM(H71:H73))&lt;'RFPR cover'!$F$14,"OK","ERROR")</f>
        <v>OK</v>
      </c>
      <c r="I74" s="517" t="str">
        <f>IF(ABS(I70-SUM(I71:I73))&lt;'RFPR cover'!$F$14,"OK","ERROR")</f>
        <v>OK</v>
      </c>
      <c r="J74" s="517" t="str">
        <f>IF(ABS(J70-SUM(J71:J73))&lt;'RFPR cover'!$F$14,"OK","ERROR")</f>
        <v>OK</v>
      </c>
      <c r="K74" s="518" t="str">
        <f>IF(ABS(K70-SUM(K71:K73))&lt;'RFPR cover'!$F$14,"OK","ERROR")</f>
        <v>OK</v>
      </c>
    </row>
    <row r="75" spans="2:13">
      <c r="B75" s="200"/>
      <c r="C75" s="200"/>
      <c r="D75" s="200"/>
      <c r="E75" s="200"/>
      <c r="F75" s="200"/>
      <c r="G75" s="200"/>
      <c r="H75" s="200"/>
      <c r="I75" s="200"/>
      <c r="J75" s="200"/>
      <c r="K75" s="200"/>
      <c r="L75" s="200"/>
      <c r="M75" s="200"/>
    </row>
    <row r="77" spans="2:13">
      <c r="B77" s="838" t="s">
        <v>417</v>
      </c>
      <c r="C77" s="838"/>
      <c r="D77" s="838"/>
      <c r="E77" s="838"/>
      <c r="F77" s="838"/>
      <c r="G77" s="838"/>
      <c r="H77" s="838"/>
      <c r="I77" s="838"/>
      <c r="J77" s="838"/>
      <c r="K77" s="838"/>
      <c r="L77" s="838"/>
    </row>
    <row r="79" spans="2:13">
      <c r="B79" s="14" t="s">
        <v>418</v>
      </c>
      <c r="C79" s="211" t="str">
        <f>'RFPR cover'!$C$14</f>
        <v>£m 12/13</v>
      </c>
      <c r="D79" s="612">
        <f t="shared" ref="D79:K79" si="12">D$68-D41</f>
        <v>-1.5502287527415444</v>
      </c>
      <c r="E79" s="613">
        <f t="shared" si="12"/>
        <v>-3.4212271162597467</v>
      </c>
      <c r="F79" s="613">
        <f t="shared" si="12"/>
        <v>-4.3153264686561492</v>
      </c>
      <c r="G79" s="613">
        <f t="shared" si="12"/>
        <v>-2.4726940617333621</v>
      </c>
      <c r="H79" s="613">
        <f t="shared" si="12"/>
        <v>-5.370240318881514E-2</v>
      </c>
      <c r="I79" s="613">
        <f t="shared" si="12"/>
        <v>-2.168817192750577</v>
      </c>
      <c r="J79" s="613">
        <f t="shared" si="12"/>
        <v>-0.59506953181948319</v>
      </c>
      <c r="K79" s="614">
        <f t="shared" si="12"/>
        <v>-1.8305757635016331</v>
      </c>
    </row>
    <row r="80" spans="2:13">
      <c r="B80" s="14"/>
      <c r="C80" s="14"/>
      <c r="D80" s="14"/>
      <c r="E80" s="14"/>
      <c r="F80" s="14"/>
      <c r="G80" s="14"/>
      <c r="H80" s="14"/>
      <c r="I80" s="14"/>
      <c r="J80" s="14"/>
      <c r="K80" s="14"/>
    </row>
    <row r="81" spans="2:11">
      <c r="B81" s="14" t="s">
        <v>429</v>
      </c>
      <c r="C81" s="211" t="str">
        <f>'RFPR cover'!$C$14</f>
        <v>£m 12/13</v>
      </c>
      <c r="D81" s="612">
        <f t="shared" ref="D81:K81" si="13">D$68-D53</f>
        <v>-1.3058779390517969</v>
      </c>
      <c r="E81" s="613">
        <f t="shared" si="13"/>
        <v>-3.2368399696695693</v>
      </c>
      <c r="F81" s="613">
        <f t="shared" si="13"/>
        <v>-4.3435182254920566</v>
      </c>
      <c r="G81" s="613">
        <f t="shared" si="13"/>
        <v>-2.4478885534439208</v>
      </c>
      <c r="H81" s="613">
        <f t="shared" si="13"/>
        <v>1.5832794530124872E-2</v>
      </c>
      <c r="I81" s="613">
        <f t="shared" si="13"/>
        <v>-2.0783068080835321</v>
      </c>
      <c r="J81" s="613">
        <f t="shared" si="13"/>
        <v>-0.59082074405349161</v>
      </c>
      <c r="K81" s="614">
        <f t="shared" si="13"/>
        <v>-1.8311204366274119</v>
      </c>
    </row>
    <row r="83" spans="2:11">
      <c r="B83" s="14" t="s">
        <v>428</v>
      </c>
      <c r="C83" s="211" t="str">
        <f>'RFPR cover'!$C$14</f>
        <v>£m 12/13</v>
      </c>
      <c r="D83" s="612">
        <f>D79-D81</f>
        <v>-0.24435081368974743</v>
      </c>
      <c r="E83" s="613">
        <f t="shared" ref="E83:K83" si="14">E79-E81</f>
        <v>-0.18438714659017741</v>
      </c>
      <c r="F83" s="613">
        <f t="shared" si="14"/>
        <v>2.8191756835907356E-2</v>
      </c>
      <c r="G83" s="613">
        <f t="shared" si="14"/>
        <v>-2.4805508289441391E-2</v>
      </c>
      <c r="H83" s="613">
        <f t="shared" si="14"/>
        <v>-6.9535197718940012E-2</v>
      </c>
      <c r="I83" s="613">
        <f t="shared" si="14"/>
        <v>-9.0510384667044974E-2</v>
      </c>
      <c r="J83" s="613">
        <f t="shared" si="14"/>
        <v>-4.2487877659915796E-3</v>
      </c>
      <c r="K83" s="614">
        <f t="shared" si="14"/>
        <v>5.4467312577877181E-4</v>
      </c>
    </row>
    <row r="85" spans="2:11">
      <c r="B85" t="s">
        <v>511</v>
      </c>
      <c r="C85" s="266" t="s">
        <v>128</v>
      </c>
      <c r="D85" s="588">
        <v>0.4779115721774696</v>
      </c>
      <c r="E85" s="589">
        <v>-1.8708624368172249</v>
      </c>
      <c r="F85" s="589">
        <v>-5.7132862581283135</v>
      </c>
      <c r="G85" s="589">
        <v>-4.3224045820042996</v>
      </c>
      <c r="H85" s="589">
        <v>-2.7088379615552167</v>
      </c>
      <c r="I85" s="589">
        <v>-5.9835760907386515E-2</v>
      </c>
      <c r="J85" s="589">
        <v>-3.3252343843420271</v>
      </c>
      <c r="K85" s="684">
        <v>-4.3765693870755165</v>
      </c>
    </row>
    <row r="86" spans="2:11">
      <c r="B86" t="s">
        <v>511</v>
      </c>
      <c r="C86" s="397" t="str">
        <f>'RFPR cover'!$C$14</f>
        <v>£m 12/13</v>
      </c>
      <c r="D86" s="790">
        <f>D85/D$39</f>
        <v>0.4507252890824312</v>
      </c>
      <c r="E86" s="790">
        <f t="shared" ref="E86:K86" si="15">E85/E$39</f>
        <v>-1.7274229664603251</v>
      </c>
      <c r="F86" s="790">
        <f t="shared" si="15"/>
        <v>-5.0849677536031876</v>
      </c>
      <c r="G86" s="790">
        <f t="shared" si="15"/>
        <v>-3.7329843883755562</v>
      </c>
      <c r="H86" s="790">
        <f t="shared" si="15"/>
        <v>-2.2804168986021383</v>
      </c>
      <c r="I86" s="790">
        <f t="shared" si="15"/>
        <v>-4.9768775524129609E-2</v>
      </c>
      <c r="J86" s="790">
        <f t="shared" si="15"/>
        <v>-2.6943837252929455</v>
      </c>
      <c r="K86" s="790">
        <f t="shared" si="15"/>
        <v>-3.4404690767951003</v>
      </c>
    </row>
    <row r="87" spans="2:11">
      <c r="B87" t="s">
        <v>512</v>
      </c>
      <c r="C87" s="266" t="s">
        <v>128</v>
      </c>
      <c r="D87" s="588">
        <v>0.73700083200365718</v>
      </c>
      <c r="E87" s="589">
        <v>-1.6711643934976221</v>
      </c>
      <c r="F87" s="589">
        <v>-5.7449614987055933</v>
      </c>
      <c r="G87" s="589">
        <v>-4.2936824038395303</v>
      </c>
      <c r="H87" s="589">
        <v>-2.626239212457727</v>
      </c>
      <c r="I87" s="589">
        <v>4.8982623301144557E-2</v>
      </c>
      <c r="J87" s="589">
        <v>-3.3199908048775959</v>
      </c>
      <c r="K87" s="684">
        <v>-4.3772622576332889</v>
      </c>
    </row>
    <row r="88" spans="2:11">
      <c r="B88" t="s">
        <v>512</v>
      </c>
      <c r="C88" s="397" t="str">
        <f>'RFPR cover'!$C$14</f>
        <v>£m 12/13</v>
      </c>
      <c r="D88" s="790">
        <f t="shared" ref="D88:K88" si="16">D87/D$39</f>
        <v>0.69507610277217946</v>
      </c>
      <c r="E88" s="790">
        <f t="shared" si="16"/>
        <v>-1.5430358198701495</v>
      </c>
      <c r="F88" s="790">
        <f t="shared" si="16"/>
        <v>-5.1131595104390968</v>
      </c>
      <c r="G88" s="790">
        <f t="shared" si="16"/>
        <v>-3.7081788800861153</v>
      </c>
      <c r="H88" s="790">
        <f t="shared" si="16"/>
        <v>-2.2108817008831978</v>
      </c>
      <c r="I88" s="790">
        <f t="shared" si="16"/>
        <v>4.0741609142915164E-2</v>
      </c>
      <c r="J88" s="790">
        <f t="shared" si="16"/>
        <v>-2.6901349375269548</v>
      </c>
      <c r="K88" s="790">
        <f t="shared" si="16"/>
        <v>-3.4410137499208773</v>
      </c>
    </row>
    <row r="89" spans="2:11">
      <c r="B89" t="s">
        <v>515</v>
      </c>
      <c r="C89" s="397" t="str">
        <f>'RFPR cover'!$C$14</f>
        <v>£m 12/13</v>
      </c>
      <c r="D89" s="790">
        <f>D86-D88</f>
        <v>-0.24435081368974826</v>
      </c>
      <c r="E89" s="790">
        <f t="shared" ref="E89:K89" si="17">E86-E88</f>
        <v>-0.18438714659017563</v>
      </c>
      <c r="F89" s="790">
        <f t="shared" si="17"/>
        <v>2.8191756835909132E-2</v>
      </c>
      <c r="G89" s="790">
        <f t="shared" si="17"/>
        <v>-2.4805508289440947E-2</v>
      </c>
      <c r="H89" s="790">
        <f t="shared" si="17"/>
        <v>-6.9535197718940456E-2</v>
      </c>
      <c r="I89" s="790">
        <f t="shared" si="17"/>
        <v>-9.051038466704478E-2</v>
      </c>
      <c r="J89" s="790">
        <f t="shared" si="17"/>
        <v>-4.2487877659906914E-3</v>
      </c>
      <c r="K89" s="790">
        <f t="shared" si="17"/>
        <v>5.4467312577699545E-4</v>
      </c>
    </row>
  </sheetData>
  <conditionalFormatting sqref="D6:K7">
    <cfRule type="expression" dxfId="22" priority="71">
      <formula>AND(D$6="Actuals",E$6="Forecast")</formula>
    </cfRule>
  </conditionalFormatting>
  <conditionalFormatting sqref="D5:K5">
    <cfRule type="expression" dxfId="21" priority="46">
      <formula>AND(D$5="Actuals",E$5="Forecast")</formula>
    </cfRule>
  </conditionalFormatting>
  <conditionalFormatting sqref="I36:K36 D36:F36">
    <cfRule type="expression" dxfId="20" priority="14">
      <formula>AND(D$5="Actuals",E$5="Actuals")</formula>
    </cfRule>
  </conditionalFormatting>
  <conditionalFormatting sqref="D12:K12 D15:K19 D24:K33">
    <cfRule type="expression" dxfId="19" priority="13">
      <formula>NOT(AND(D$5="Actuals"))</formula>
    </cfRule>
  </conditionalFormatting>
  <conditionalFormatting sqref="G36">
    <cfRule type="expression" dxfId="18" priority="179">
      <formula>AND(E$5="Actuals",F$5="Actuals")</formula>
    </cfRule>
  </conditionalFormatting>
  <conditionalFormatting sqref="H36">
    <cfRule type="expression" dxfId="17" priority="1">
      <formula>AND(H$5="Actuals",I$5="Actuals")</formula>
    </cfRule>
  </conditionalFormatting>
  <pageMargins left="0.70866141732283472" right="0.70866141732283472" top="0.74803149606299213" bottom="0.74803149606299213" header="0.31496062992125984" footer="0.31496062992125984"/>
  <pageSetup paperSize="8" scale="80" orientation="landscape" r:id="rId1"/>
  <headerFooter>
    <oddFooter>&amp;C&amp;1#&amp;"Calibri"&amp;12&amp;K008000Internal Use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6.375" bestFit="1" customWidth="1"/>
    <col min="3" max="3" width="14.125" customWidth="1"/>
    <col min="4" max="11" width="11.125" customWidth="1"/>
    <col min="12" max="12" width="5" customWidth="1"/>
    <col min="17" max="17" width="13.125" customWidth="1"/>
  </cols>
  <sheetData>
    <row r="1" spans="1:18" s="31" customFormat="1" ht="20.25">
      <c r="A1" s="930" t="s">
        <v>258</v>
      </c>
      <c r="B1" s="941"/>
      <c r="C1" s="120"/>
      <c r="D1" s="120"/>
      <c r="E1" s="120"/>
      <c r="F1" s="120"/>
      <c r="G1" s="120"/>
      <c r="H1" s="120"/>
      <c r="I1" s="126"/>
      <c r="J1" s="126"/>
      <c r="K1" s="127"/>
      <c r="L1" s="128"/>
    </row>
    <row r="2" spans="1:18" s="31" customFormat="1" ht="20.25">
      <c r="A2" s="915" t="str">
        <f>'RFPR cover'!C5</f>
        <v>SPD</v>
      </c>
      <c r="B2" s="907"/>
      <c r="C2" s="29"/>
      <c r="D2" s="29"/>
      <c r="E2" s="29"/>
      <c r="F2" s="29"/>
      <c r="G2" s="29"/>
      <c r="H2" s="29"/>
      <c r="I2" s="27"/>
      <c r="J2" s="27"/>
      <c r="K2" s="27"/>
      <c r="L2" s="123"/>
    </row>
    <row r="3" spans="1:18" s="31" customFormat="1" ht="23.25">
      <c r="A3" s="932">
        <f>'RFPR cover'!C7</f>
        <v>2021</v>
      </c>
      <c r="B3" s="924" t="str">
        <f>'R1 - RoRE'!B3</f>
        <v/>
      </c>
      <c r="C3" s="124"/>
      <c r="D3" s="124"/>
      <c r="E3" s="124"/>
      <c r="F3" s="124"/>
      <c r="G3" s="124"/>
      <c r="H3" s="124"/>
      <c r="I3" s="28"/>
      <c r="J3" s="28"/>
      <c r="K3" s="28"/>
      <c r="L3" s="125"/>
    </row>
    <row r="4" spans="1:18" s="2" customFormat="1" ht="12.75" customHeight="1"/>
    <row r="5" spans="1:18" s="2" customFormat="1">
      <c r="B5" s="3"/>
      <c r="C5" s="3"/>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Actuals</v>
      </c>
      <c r="J5" s="391" t="str">
        <f>IF(J6&lt;='RFPR cover'!$C$7,"Actuals","N/A")</f>
        <v>N/A</v>
      </c>
      <c r="K5" s="392" t="str">
        <f>IF(K6&lt;='RFPR cover'!$C$7,"Actuals","N/A")</f>
        <v>N/A</v>
      </c>
    </row>
    <row r="6" spans="1:18"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8" s="2" customFormat="1"/>
    <row r="8" spans="1:18">
      <c r="B8" s="14" t="s">
        <v>229</v>
      </c>
      <c r="C8" s="152" t="s">
        <v>128</v>
      </c>
      <c r="D8" s="640">
        <v>65</v>
      </c>
      <c r="E8" s="641">
        <v>69</v>
      </c>
      <c r="F8" s="641">
        <v>94.3</v>
      </c>
      <c r="G8" s="641">
        <v>72</v>
      </c>
      <c r="H8" s="641">
        <v>95.6</v>
      </c>
      <c r="I8" s="641">
        <v>92.9</v>
      </c>
      <c r="J8" s="641"/>
      <c r="K8" s="642"/>
    </row>
    <row r="9" spans="1:18">
      <c r="B9" s="15" t="s">
        <v>105</v>
      </c>
      <c r="C9" s="14"/>
      <c r="D9" s="752"/>
      <c r="E9" s="752"/>
      <c r="F9" s="752"/>
      <c r="G9" s="752"/>
      <c r="H9" s="752"/>
      <c r="I9" s="752"/>
      <c r="J9" s="752"/>
      <c r="K9" s="752"/>
    </row>
    <row r="10" spans="1:18">
      <c r="B10" s="431" t="s">
        <v>22</v>
      </c>
      <c r="C10" s="152" t="s">
        <v>128</v>
      </c>
      <c r="D10" s="596">
        <v>0</v>
      </c>
      <c r="E10" s="597">
        <v>0</v>
      </c>
      <c r="F10" s="597">
        <v>0</v>
      </c>
      <c r="G10" s="597">
        <v>0</v>
      </c>
      <c r="H10" s="597">
        <v>0</v>
      </c>
      <c r="I10" s="597">
        <v>0</v>
      </c>
      <c r="J10" s="597"/>
      <c r="K10" s="607"/>
    </row>
    <row r="11" spans="1:18">
      <c r="B11" s="431" t="s">
        <v>22</v>
      </c>
      <c r="C11" s="152" t="s">
        <v>128</v>
      </c>
      <c r="D11" s="598">
        <v>0</v>
      </c>
      <c r="E11" s="599">
        <v>0</v>
      </c>
      <c r="F11" s="599">
        <v>0</v>
      </c>
      <c r="G11" s="599">
        <v>0</v>
      </c>
      <c r="H11" s="599">
        <v>0</v>
      </c>
      <c r="I11" s="599">
        <v>0</v>
      </c>
      <c r="J11" s="599"/>
      <c r="K11" s="608"/>
    </row>
    <row r="12" spans="1:18">
      <c r="B12" s="431" t="s">
        <v>20</v>
      </c>
      <c r="C12" s="152" t="s">
        <v>128</v>
      </c>
      <c r="D12" s="609">
        <v>0</v>
      </c>
      <c r="E12" s="610">
        <v>0</v>
      </c>
      <c r="F12" s="610">
        <v>0</v>
      </c>
      <c r="G12" s="610">
        <v>0</v>
      </c>
      <c r="H12" s="610">
        <v>0</v>
      </c>
      <c r="I12" s="610">
        <v>0</v>
      </c>
      <c r="J12" s="610"/>
      <c r="K12" s="611"/>
      <c r="Q12" s="216"/>
    </row>
    <row r="13" spans="1:18">
      <c r="B13" s="14" t="s">
        <v>106</v>
      </c>
      <c r="C13" s="152" t="s">
        <v>128</v>
      </c>
      <c r="D13" s="740">
        <f>D8-SUM(D10:D12)</f>
        <v>65</v>
      </c>
      <c r="E13" s="741">
        <f t="shared" ref="E13:K13" si="1">E8-SUM(E10:E12)</f>
        <v>69</v>
      </c>
      <c r="F13" s="741">
        <f t="shared" si="1"/>
        <v>94.3</v>
      </c>
      <c r="G13" s="741">
        <f t="shared" si="1"/>
        <v>72</v>
      </c>
      <c r="H13" s="741">
        <f t="shared" si="1"/>
        <v>95.6</v>
      </c>
      <c r="I13" s="741">
        <f t="shared" si="1"/>
        <v>92.9</v>
      </c>
      <c r="J13" s="741">
        <f t="shared" si="1"/>
        <v>0</v>
      </c>
      <c r="K13" s="742">
        <f t="shared" si="1"/>
        <v>0</v>
      </c>
      <c r="R13" s="215"/>
    </row>
    <row r="14" spans="1:18">
      <c r="C14" s="14"/>
      <c r="Q14" s="216"/>
    </row>
    <row r="15" spans="1:18">
      <c r="B15" s="14" t="s">
        <v>488</v>
      </c>
      <c r="C15" s="152" t="s">
        <v>128</v>
      </c>
      <c r="D15" s="596">
        <v>0</v>
      </c>
      <c r="E15" s="597">
        <v>0</v>
      </c>
      <c r="F15" s="597">
        <v>0</v>
      </c>
      <c r="G15" s="597">
        <v>0</v>
      </c>
      <c r="H15" s="597">
        <v>0</v>
      </c>
      <c r="I15" s="597">
        <v>0</v>
      </c>
      <c r="J15" s="597"/>
      <c r="K15" s="607"/>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headerFooter>
    <oddFooter>&amp;C&amp;1#&amp;"Calibri"&amp;12&amp;K008000Internal Use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926" t="s">
        <v>257</v>
      </c>
      <c r="B1" s="922"/>
      <c r="C1" s="256"/>
      <c r="D1" s="256"/>
      <c r="E1" s="256"/>
      <c r="F1" s="256"/>
      <c r="G1" s="256"/>
      <c r="H1" s="256"/>
      <c r="I1" s="257"/>
      <c r="J1" s="257"/>
      <c r="K1" s="258"/>
      <c r="L1" s="259"/>
    </row>
    <row r="2" spans="1:12" s="31" customFormat="1" ht="20.25">
      <c r="A2" s="915" t="str">
        <f>'RFPR cover'!C5</f>
        <v>SPD</v>
      </c>
      <c r="B2" s="907"/>
      <c r="C2" s="29"/>
      <c r="D2" s="29"/>
      <c r="E2" s="29"/>
      <c r="F2" s="29"/>
      <c r="G2" s="29"/>
      <c r="H2" s="29"/>
      <c r="I2" s="27"/>
      <c r="J2" s="27"/>
      <c r="K2" s="27"/>
      <c r="L2" s="123"/>
    </row>
    <row r="3" spans="1:12" s="31" customFormat="1" ht="20.25">
      <c r="A3" s="918">
        <f>'RFPR cover'!C7</f>
        <v>2021</v>
      </c>
      <c r="B3" s="925"/>
      <c r="C3" s="260"/>
      <c r="D3" s="260"/>
      <c r="E3" s="260"/>
      <c r="F3" s="260"/>
      <c r="G3" s="260"/>
      <c r="H3" s="260"/>
      <c r="I3" s="255"/>
      <c r="J3" s="255"/>
      <c r="K3" s="255"/>
      <c r="L3" s="261"/>
    </row>
    <row r="4" spans="1:12" s="2" customFormat="1" ht="12.75" customHeight="1">
      <c r="A4" s="35"/>
      <c r="B4" s="269"/>
      <c r="C4" s="31"/>
      <c r="D4" s="270"/>
      <c r="E4" s="270"/>
      <c r="F4" s="35"/>
      <c r="G4" s="35"/>
      <c r="H4" s="35"/>
      <c r="I4" s="35"/>
      <c r="J4" s="35"/>
      <c r="K4" s="35"/>
    </row>
    <row r="5" spans="1:12" s="2" customFormat="1" ht="12.75" customHeight="1">
      <c r="A5" s="35"/>
      <c r="B5" s="269"/>
      <c r="C5" s="3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row>
    <row r="6" spans="1:12" s="2" customFormat="1">
      <c r="A6" s="35"/>
      <c r="B6" s="35"/>
      <c r="C6" s="3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A7" s="35"/>
      <c r="B7" s="35"/>
      <c r="C7" s="31"/>
      <c r="D7" s="31"/>
      <c r="E7" s="31"/>
      <c r="F7" s="31"/>
      <c r="G7" s="31"/>
      <c r="H7" s="31"/>
      <c r="I7" s="31"/>
      <c r="J7" s="31"/>
      <c r="K7" s="31"/>
      <c r="L7" s="31"/>
    </row>
    <row r="8" spans="1:12">
      <c r="B8" s="14" t="s">
        <v>377</v>
      </c>
      <c r="C8" s="152" t="s">
        <v>128</v>
      </c>
      <c r="D8" s="753">
        <v>27.46</v>
      </c>
      <c r="E8" s="753">
        <v>27.679000000000002</v>
      </c>
      <c r="F8" s="753">
        <v>25.605</v>
      </c>
      <c r="G8" s="753">
        <v>26.602</v>
      </c>
      <c r="H8" s="753">
        <v>27.480999999999998</v>
      </c>
      <c r="I8" s="753">
        <v>26.248000000000001</v>
      </c>
      <c r="J8" s="754"/>
      <c r="K8" s="755"/>
    </row>
    <row r="9" spans="1:12">
      <c r="B9" s="16" t="s">
        <v>24</v>
      </c>
      <c r="D9" s="752"/>
      <c r="E9" s="752"/>
      <c r="F9" s="752"/>
      <c r="G9" s="752"/>
      <c r="H9" s="752"/>
      <c r="I9" s="752"/>
      <c r="J9" s="752"/>
      <c r="K9" s="752"/>
    </row>
    <row r="10" spans="1:12">
      <c r="B10" t="s">
        <v>23</v>
      </c>
      <c r="C10" s="152" t="s">
        <v>128</v>
      </c>
      <c r="D10" s="679">
        <v>26.071000000000002</v>
      </c>
      <c r="E10" s="680">
        <v>26.28</v>
      </c>
      <c r="F10" s="680">
        <v>22.216999999999999</v>
      </c>
      <c r="G10" s="680">
        <v>23.082999999999998</v>
      </c>
      <c r="H10" s="680">
        <v>23.844999999999999</v>
      </c>
      <c r="I10" s="680">
        <v>21.457000000000001</v>
      </c>
      <c r="J10" s="680"/>
      <c r="K10" s="681"/>
    </row>
    <row r="11" spans="1:12">
      <c r="B11" t="s">
        <v>25</v>
      </c>
      <c r="C11" s="152" t="s">
        <v>128</v>
      </c>
      <c r="D11" s="756">
        <v>1.3889999999999998</v>
      </c>
      <c r="E11" s="757">
        <v>1.399</v>
      </c>
      <c r="F11" s="757">
        <v>3.3879999999999999</v>
      </c>
      <c r="G11" s="757">
        <v>3.5190000000000001</v>
      </c>
      <c r="H11" s="757">
        <v>3.6360000000000001</v>
      </c>
      <c r="I11" s="757">
        <v>4.7910000000000004</v>
      </c>
      <c r="J11" s="757"/>
      <c r="K11" s="758"/>
    </row>
    <row r="12" spans="1:12">
      <c r="D12" s="752"/>
      <c r="E12" s="752"/>
      <c r="F12" s="752"/>
      <c r="G12" s="752"/>
      <c r="H12" s="752"/>
      <c r="I12" s="752"/>
      <c r="J12" s="752"/>
      <c r="K12" s="752"/>
    </row>
    <row r="13" spans="1:12">
      <c r="D13" s="752"/>
      <c r="E13" s="752"/>
      <c r="F13" s="752"/>
      <c r="G13" s="752"/>
      <c r="H13" s="752"/>
      <c r="I13" s="752"/>
      <c r="J13" s="752"/>
      <c r="K13" s="752"/>
    </row>
    <row r="14" spans="1:12">
      <c r="B14" t="s">
        <v>23</v>
      </c>
      <c r="C14" s="210" t="str">
        <f>'RFPR cover'!$C$14</f>
        <v>£m 12/13</v>
      </c>
      <c r="D14" s="17">
        <f>D10/Data!C$34</f>
        <v>24.587935709797907</v>
      </c>
      <c r="E14" s="17">
        <f>E10/Data!D$34</f>
        <v>24.265106116411062</v>
      </c>
      <c r="F14" s="17">
        <f>F10/Data!E$34</f>
        <v>19.773686014957732</v>
      </c>
      <c r="G14" s="17">
        <f>G10/Data!F$34</f>
        <v>19.93531077484575</v>
      </c>
      <c r="H14" s="17">
        <f>H10/Data!G$34</f>
        <v>20.073751814947599</v>
      </c>
      <c r="I14" s="17">
        <f>I10/Data!H$34</f>
        <v>17.846996515580734</v>
      </c>
      <c r="J14" s="17">
        <f>J10/Data!I$34</f>
        <v>0</v>
      </c>
      <c r="K14" s="17">
        <f>K10/Data!J$34</f>
        <v>0</v>
      </c>
    </row>
    <row r="15" spans="1:12">
      <c r="D15" s="752"/>
      <c r="E15" s="752"/>
      <c r="F15" s="752"/>
      <c r="G15" s="752"/>
      <c r="H15" s="752"/>
      <c r="I15" s="752"/>
      <c r="J15" s="752"/>
      <c r="K15" s="752"/>
    </row>
    <row r="16" spans="1:12">
      <c r="D16" s="752"/>
      <c r="E16" s="752"/>
      <c r="F16" s="752"/>
      <c r="G16" s="752"/>
      <c r="H16" s="752"/>
      <c r="I16" s="752"/>
      <c r="J16" s="752"/>
      <c r="K16" s="752"/>
    </row>
    <row r="17" spans="2:11" s="2" customFormat="1">
      <c r="B17" s="14" t="s">
        <v>311</v>
      </c>
      <c r="C17" s="210" t="str">
        <f>'RFPR cover'!$C$14</f>
        <v>£m 12/13</v>
      </c>
      <c r="D17" s="759">
        <v>28.1</v>
      </c>
      <c r="E17" s="759">
        <v>28.1</v>
      </c>
      <c r="F17" s="759">
        <v>28.1</v>
      </c>
      <c r="G17" s="759">
        <v>28.5</v>
      </c>
      <c r="H17" s="759">
        <v>28.5</v>
      </c>
      <c r="I17" s="759">
        <v>28.5</v>
      </c>
      <c r="J17" s="759">
        <v>0</v>
      </c>
      <c r="K17" s="759">
        <v>0</v>
      </c>
    </row>
    <row r="18" spans="2:11" s="2" customFormat="1">
      <c r="B18" s="200" t="s">
        <v>312</v>
      </c>
      <c r="C18" s="210" t="str">
        <f>'RFPR cover'!$C$14</f>
        <v>£m 12/13</v>
      </c>
      <c r="D18" s="759">
        <v>2.9</v>
      </c>
      <c r="E18" s="759">
        <v>2.9</v>
      </c>
      <c r="F18" s="759">
        <v>2.9</v>
      </c>
      <c r="G18" s="759">
        <v>3.3</v>
      </c>
      <c r="H18" s="759">
        <v>3.3</v>
      </c>
      <c r="I18" s="759">
        <v>3.3</v>
      </c>
      <c r="J18" s="759">
        <v>0</v>
      </c>
      <c r="K18" s="759">
        <v>0</v>
      </c>
    </row>
    <row r="19" spans="2:11" s="2" customFormat="1">
      <c r="B19" s="14" t="s">
        <v>313</v>
      </c>
      <c r="C19" s="210" t="str">
        <f>'RFPR cover'!$C$14</f>
        <v>£m 12/13</v>
      </c>
      <c r="D19" s="17">
        <f>D17-D18</f>
        <v>25.200000000000003</v>
      </c>
      <c r="E19" s="17">
        <f t="shared" ref="E19:K19" si="1">E17-E18</f>
        <v>25.200000000000003</v>
      </c>
      <c r="F19" s="17">
        <f t="shared" si="1"/>
        <v>25.200000000000003</v>
      </c>
      <c r="G19" s="17">
        <f t="shared" si="1"/>
        <v>25.2</v>
      </c>
      <c r="H19" s="17">
        <f t="shared" si="1"/>
        <v>25.2</v>
      </c>
      <c r="I19" s="17">
        <f t="shared" si="1"/>
        <v>25.2</v>
      </c>
      <c r="J19" s="17">
        <f t="shared" si="1"/>
        <v>0</v>
      </c>
      <c r="K19" s="17">
        <f t="shared" si="1"/>
        <v>0</v>
      </c>
    </row>
    <row r="20" spans="2:11" s="2" customFormat="1">
      <c r="B20" s="14"/>
      <c r="C20" s="14"/>
      <c r="D20" s="14"/>
      <c r="E20" s="14"/>
      <c r="F20" s="14"/>
      <c r="G20" s="14"/>
      <c r="H20" s="14"/>
      <c r="I20" s="14"/>
      <c r="J20" s="14"/>
      <c r="K20" s="14"/>
    </row>
    <row r="21" spans="2:11" s="2" customFormat="1">
      <c r="B21" s="14"/>
      <c r="C21" s="14"/>
      <c r="D21" s="1002" t="s">
        <v>118</v>
      </c>
      <c r="E21" s="14"/>
      <c r="F21" s="14"/>
      <c r="G21" s="14"/>
      <c r="H21" s="14"/>
      <c r="I21" s="14"/>
      <c r="J21" s="14"/>
      <c r="K21" s="14"/>
    </row>
    <row r="22" spans="2:11" s="2" customFormat="1" ht="12.75" customHeight="1">
      <c r="B22" s="14"/>
      <c r="C22" s="14"/>
      <c r="D22" s="1003"/>
      <c r="E22" s="14"/>
      <c r="F22" s="14"/>
      <c r="G22" s="14"/>
      <c r="H22" s="14"/>
      <c r="I22" s="14"/>
      <c r="J22" s="14"/>
      <c r="K22" s="14"/>
    </row>
    <row r="23" spans="2:11">
      <c r="C23" s="14"/>
      <c r="D23" s="1004"/>
      <c r="E23" s="14"/>
    </row>
    <row r="24" spans="2:11">
      <c r="B24" s="14" t="s">
        <v>117</v>
      </c>
      <c r="C24" s="14"/>
      <c r="D24" s="525">
        <v>43555</v>
      </c>
    </row>
    <row r="25" spans="2:11">
      <c r="B25" s="14"/>
      <c r="C25" s="14"/>
      <c r="D25" s="40"/>
      <c r="E25" s="41"/>
      <c r="F25" s="41"/>
    </row>
    <row r="26" spans="2:11">
      <c r="B26" s="200" t="s">
        <v>310</v>
      </c>
      <c r="C26" s="14"/>
      <c r="D26" s="363" t="s">
        <v>635</v>
      </c>
      <c r="E26" s="41"/>
      <c r="F26" s="41"/>
    </row>
    <row r="27" spans="2:11">
      <c r="B27" s="200"/>
      <c r="C27" s="14"/>
      <c r="D27" s="40"/>
      <c r="E27" s="41"/>
      <c r="F27" s="41"/>
    </row>
    <row r="28" spans="2:11">
      <c r="B28" s="14"/>
      <c r="D28" s="362" t="s">
        <v>280</v>
      </c>
      <c r="E28" s="41"/>
      <c r="F28" s="41"/>
    </row>
    <row r="29" spans="2:11">
      <c r="B29" t="s">
        <v>26</v>
      </c>
      <c r="D29" s="759">
        <v>823.4</v>
      </c>
    </row>
    <row r="30" spans="2:11">
      <c r="B30" t="s">
        <v>27</v>
      </c>
      <c r="D30" s="759">
        <v>4674.5</v>
      </c>
    </row>
    <row r="31" spans="2:11">
      <c r="D31" s="752"/>
    </row>
    <row r="32" spans="2:11">
      <c r="B32" t="s">
        <v>28</v>
      </c>
      <c r="D32" s="759">
        <v>649.19999999999993</v>
      </c>
    </row>
    <row r="33" spans="2:4">
      <c r="B33" t="s">
        <v>29</v>
      </c>
      <c r="D33" s="759">
        <v>4045.9</v>
      </c>
    </row>
    <row r="34" spans="2:4">
      <c r="D34" s="752"/>
    </row>
    <row r="35" spans="2:4">
      <c r="B35" s="43" t="s">
        <v>31</v>
      </c>
      <c r="D35" s="17">
        <f>D29-D32</f>
        <v>174.20000000000005</v>
      </c>
    </row>
    <row r="36" spans="2:4">
      <c r="B36" s="43" t="s">
        <v>30</v>
      </c>
      <c r="D36" s="17">
        <f>D30-D33</f>
        <v>628.59999999999991</v>
      </c>
    </row>
    <row r="37" spans="2:4">
      <c r="D37" s="752"/>
    </row>
    <row r="38" spans="2:4">
      <c r="B38" t="s">
        <v>32</v>
      </c>
      <c r="D38" s="759">
        <v>179.2</v>
      </c>
    </row>
    <row r="39" spans="2:4">
      <c r="B39" t="s">
        <v>33</v>
      </c>
      <c r="D39" s="759">
        <v>39.6</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headerFooter>
    <oddFooter>&amp;C&amp;1#&amp;"Calibri"&amp;12&amp;K008000Internal Use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912" t="s">
        <v>256</v>
      </c>
      <c r="B1" s="922"/>
      <c r="C1" s="256"/>
      <c r="D1" s="256"/>
      <c r="E1" s="256"/>
      <c r="F1" s="256"/>
      <c r="G1" s="256"/>
      <c r="H1" s="256"/>
      <c r="I1" s="257"/>
      <c r="J1" s="257"/>
      <c r="K1" s="258"/>
      <c r="L1" s="364"/>
      <c r="M1" s="33"/>
      <c r="N1" s="33"/>
      <c r="O1" s="32" t="s">
        <v>84</v>
      </c>
      <c r="P1" s="33"/>
      <c r="Q1" s="33"/>
      <c r="R1" s="33"/>
      <c r="S1" s="33"/>
    </row>
    <row r="2" spans="1:19" s="31" customFormat="1" ht="20.25">
      <c r="A2" s="915" t="str">
        <f>'RFPR cover'!C5</f>
        <v>SPD</v>
      </c>
      <c r="B2" s="907"/>
      <c r="C2" s="29"/>
      <c r="D2" s="29"/>
      <c r="E2" s="29"/>
      <c r="F2" s="29"/>
      <c r="G2" s="29"/>
      <c r="H2" s="29"/>
      <c r="I2" s="27"/>
      <c r="J2" s="27"/>
      <c r="K2" s="27"/>
      <c r="L2" s="123"/>
      <c r="M2" s="33"/>
      <c r="N2" s="33"/>
      <c r="O2" s="32" t="s">
        <v>84</v>
      </c>
      <c r="P2" s="33"/>
      <c r="Q2" s="33"/>
      <c r="R2" s="33"/>
      <c r="S2" s="33"/>
    </row>
    <row r="3" spans="1:19" s="31" customFormat="1" ht="20.25">
      <c r="A3" s="918">
        <f>'RFPR cover'!C7</f>
        <v>2021</v>
      </c>
      <c r="B3" s="925"/>
      <c r="C3" s="260"/>
      <c r="D3" s="260"/>
      <c r="E3" s="260"/>
      <c r="F3" s="260"/>
      <c r="G3" s="260"/>
      <c r="H3" s="260"/>
      <c r="I3" s="255"/>
      <c r="J3" s="255"/>
      <c r="K3" s="255"/>
      <c r="L3" s="261"/>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Forecast</v>
      </c>
      <c r="K5" s="392" t="str">
        <f>IF(K6&lt;='RFPR cover'!$C$7,"Actuals","Forecast")</f>
        <v>Forecast</v>
      </c>
      <c r="M5" s="33"/>
      <c r="N5" s="33"/>
      <c r="O5" s="32" t="s">
        <v>84</v>
      </c>
      <c r="P5" s="33"/>
      <c r="Q5" s="33"/>
      <c r="R5" s="33"/>
      <c r="S5" s="33"/>
    </row>
    <row r="6" spans="1:19" s="2" customFormat="1">
      <c r="C6" s="14"/>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9">
      <c r="D7" s="763"/>
      <c r="E7" s="763"/>
      <c r="F7" s="763"/>
      <c r="G7" s="763"/>
      <c r="H7" s="763"/>
      <c r="I7" s="763"/>
      <c r="J7" s="763"/>
      <c r="K7" s="763"/>
    </row>
    <row r="8" spans="1:19">
      <c r="B8" s="51" t="s">
        <v>451</v>
      </c>
      <c r="C8" s="210" t="str">
        <f>'RFPR cover'!$C$14</f>
        <v>£m 12/13</v>
      </c>
      <c r="D8" s="760">
        <f>(D16+D21)/Data!C34</f>
        <v>1.6347945134196499E-3</v>
      </c>
      <c r="E8" s="760">
        <f>(E16+E21)/Data!D34</f>
        <v>6.0243111914699303E-3</v>
      </c>
      <c r="F8" s="760">
        <f>(F16+F21)/Data!E34</f>
        <v>4.1164547503164698E-3</v>
      </c>
      <c r="G8" s="760">
        <f>(G16+G21)/Data!F34</f>
        <v>3.3483730740925068E-2</v>
      </c>
      <c r="H8" s="760">
        <f>(H16+H21)/Data!G34</f>
        <v>7.2873906635998936E-2</v>
      </c>
      <c r="I8" s="760">
        <f>(I16+I21)/Data!H34</f>
        <v>3.5478235427762038E-2</v>
      </c>
      <c r="J8" s="760">
        <f>(J16+J21)/Data!I34</f>
        <v>0</v>
      </c>
      <c r="K8" s="760">
        <f>(K16+K21)/Data!J34</f>
        <v>0</v>
      </c>
    </row>
    <row r="9" spans="1:19">
      <c r="D9" s="763"/>
      <c r="E9" s="763"/>
      <c r="F9" s="763"/>
      <c r="G9" s="763"/>
      <c r="H9" s="763"/>
      <c r="I9" s="763"/>
      <c r="J9" s="763"/>
      <c r="K9" s="763"/>
    </row>
    <row r="10" spans="1:19">
      <c r="B10" s="14" t="s">
        <v>435</v>
      </c>
      <c r="D10" s="763"/>
      <c r="E10" s="763"/>
      <c r="F10" s="763"/>
      <c r="G10" s="763"/>
      <c r="H10" s="763"/>
      <c r="I10" s="763"/>
      <c r="J10" s="763"/>
      <c r="K10" s="763"/>
    </row>
    <row r="11" spans="1:19">
      <c r="B11" s="44" t="s">
        <v>36</v>
      </c>
      <c r="C11" s="152" t="s">
        <v>128</v>
      </c>
      <c r="D11" s="640">
        <v>0</v>
      </c>
      <c r="E11" s="641">
        <v>0</v>
      </c>
      <c r="F11" s="641">
        <v>0</v>
      </c>
      <c r="G11" s="641">
        <v>0</v>
      </c>
      <c r="H11" s="641">
        <v>0</v>
      </c>
      <c r="I11" s="641">
        <v>0</v>
      </c>
      <c r="J11" s="641">
        <v>0</v>
      </c>
      <c r="K11" s="642">
        <v>0</v>
      </c>
    </row>
    <row r="12" spans="1:19">
      <c r="B12" s="44" t="s">
        <v>36</v>
      </c>
      <c r="C12" s="152" t="s">
        <v>128</v>
      </c>
      <c r="D12" s="640">
        <v>0</v>
      </c>
      <c r="E12" s="641">
        <v>0</v>
      </c>
      <c r="F12" s="641">
        <v>0</v>
      </c>
      <c r="G12" s="641">
        <v>0</v>
      </c>
      <c r="H12" s="641">
        <v>0</v>
      </c>
      <c r="I12" s="641">
        <v>0</v>
      </c>
      <c r="J12" s="641">
        <v>0</v>
      </c>
      <c r="K12" s="642">
        <v>0</v>
      </c>
    </row>
    <row r="13" spans="1:19">
      <c r="B13" s="44" t="s">
        <v>20</v>
      </c>
      <c r="C13" s="152" t="s">
        <v>128</v>
      </c>
      <c r="D13" s="640">
        <v>0</v>
      </c>
      <c r="E13" s="641">
        <v>0</v>
      </c>
      <c r="F13" s="641">
        <v>0</v>
      </c>
      <c r="G13" s="641">
        <v>0</v>
      </c>
      <c r="H13" s="641">
        <v>0</v>
      </c>
      <c r="I13" s="641">
        <v>0</v>
      </c>
      <c r="J13" s="641">
        <v>0</v>
      </c>
      <c r="K13" s="642">
        <v>0</v>
      </c>
    </row>
    <row r="14" spans="1:19">
      <c r="B14" s="14" t="s">
        <v>448</v>
      </c>
      <c r="C14" s="152" t="s">
        <v>128</v>
      </c>
      <c r="D14" s="760">
        <f>SUM(D11:D13)</f>
        <v>0</v>
      </c>
      <c r="E14" s="761">
        <f t="shared" ref="E14:K14" si="1">SUM(E11:E13)</f>
        <v>0</v>
      </c>
      <c r="F14" s="761">
        <f t="shared" si="1"/>
        <v>0</v>
      </c>
      <c r="G14" s="761">
        <f t="shared" si="1"/>
        <v>0</v>
      </c>
      <c r="H14" s="761">
        <f t="shared" si="1"/>
        <v>0</v>
      </c>
      <c r="I14" s="761">
        <f t="shared" si="1"/>
        <v>0</v>
      </c>
      <c r="J14" s="761">
        <f t="shared" si="1"/>
        <v>0</v>
      </c>
      <c r="K14" s="762">
        <f t="shared" si="1"/>
        <v>0</v>
      </c>
    </row>
    <row r="15" spans="1:19">
      <c r="B15" s="35" t="s">
        <v>442</v>
      </c>
      <c r="C15" s="152" t="s">
        <v>128</v>
      </c>
      <c r="D15" s="640">
        <v>0</v>
      </c>
      <c r="E15" s="641">
        <v>0</v>
      </c>
      <c r="F15" s="641">
        <v>0</v>
      </c>
      <c r="G15" s="641">
        <v>0</v>
      </c>
      <c r="H15" s="641">
        <v>0</v>
      </c>
      <c r="I15" s="641">
        <v>0</v>
      </c>
      <c r="J15" s="641">
        <v>0</v>
      </c>
      <c r="K15" s="642">
        <v>0</v>
      </c>
    </row>
    <row r="16" spans="1:19">
      <c r="B16" s="51" t="s">
        <v>449</v>
      </c>
      <c r="C16" s="152" t="s">
        <v>128</v>
      </c>
      <c r="D16" s="760">
        <f>D14-D15</f>
        <v>0</v>
      </c>
      <c r="E16" s="760">
        <f t="shared" ref="E16:K16" si="2">E14-E15</f>
        <v>0</v>
      </c>
      <c r="F16" s="760">
        <f t="shared" si="2"/>
        <v>0</v>
      </c>
      <c r="G16" s="760">
        <f t="shared" si="2"/>
        <v>0</v>
      </c>
      <c r="H16" s="760">
        <f t="shared" si="2"/>
        <v>0</v>
      </c>
      <c r="I16" s="760">
        <f t="shared" si="2"/>
        <v>0</v>
      </c>
      <c r="J16" s="760">
        <f t="shared" si="2"/>
        <v>0</v>
      </c>
      <c r="K16" s="760">
        <f t="shared" si="2"/>
        <v>0</v>
      </c>
    </row>
    <row r="18" spans="2:11">
      <c r="B18" s="14" t="s">
        <v>446</v>
      </c>
      <c r="D18" s="763"/>
      <c r="E18" s="763"/>
      <c r="F18" s="763"/>
      <c r="G18" s="763"/>
      <c r="H18" s="763"/>
      <c r="I18" s="763"/>
      <c r="J18" s="763"/>
      <c r="K18" s="763"/>
    </row>
    <row r="19" spans="2:11">
      <c r="B19" s="848" t="s">
        <v>447</v>
      </c>
      <c r="C19" s="152" t="s">
        <v>128</v>
      </c>
      <c r="D19" s="640">
        <v>2.14E-3</v>
      </c>
      <c r="E19" s="641">
        <v>8.0549999999999997E-3</v>
      </c>
      <c r="F19" s="641">
        <v>5.7099999999999998E-3</v>
      </c>
      <c r="G19" s="641">
        <v>4.7864999999999998E-2</v>
      </c>
      <c r="H19" s="641">
        <v>0.10687000000000001</v>
      </c>
      <c r="I19" s="641">
        <v>5.2659999999999998E-2</v>
      </c>
      <c r="J19" s="641">
        <v>0</v>
      </c>
      <c r="K19" s="642">
        <v>0</v>
      </c>
    </row>
    <row r="20" spans="2:11">
      <c r="B20" s="35" t="s">
        <v>442</v>
      </c>
      <c r="C20" s="152" t="s">
        <v>128</v>
      </c>
      <c r="D20" s="640">
        <v>4.0660000000000002E-4</v>
      </c>
      <c r="E20" s="641">
        <v>1.53045E-3</v>
      </c>
      <c r="F20" s="641">
        <v>1.0849E-3</v>
      </c>
      <c r="G20" s="641">
        <v>9.0943499999999993E-3</v>
      </c>
      <c r="H20" s="641">
        <v>2.0305300000000002E-2</v>
      </c>
      <c r="I20" s="641">
        <v>1.0005399999999999E-2</v>
      </c>
      <c r="J20" s="641">
        <v>0</v>
      </c>
      <c r="K20" s="642">
        <v>0</v>
      </c>
    </row>
    <row r="21" spans="2:11">
      <c r="B21" s="51" t="s">
        <v>450</v>
      </c>
      <c r="C21" s="152" t="s">
        <v>128</v>
      </c>
      <c r="D21" s="760">
        <f>D19-D20</f>
        <v>1.7334E-3</v>
      </c>
      <c r="E21" s="760">
        <f t="shared" ref="E21:K21" si="3">E19-E20</f>
        <v>6.5245499999999996E-3</v>
      </c>
      <c r="F21" s="760">
        <f t="shared" si="3"/>
        <v>4.6251E-3</v>
      </c>
      <c r="G21" s="760">
        <f t="shared" si="3"/>
        <v>3.8770649999999997E-2</v>
      </c>
      <c r="H21" s="760">
        <f t="shared" si="3"/>
        <v>8.6564700000000008E-2</v>
      </c>
      <c r="I21" s="760">
        <f t="shared" si="3"/>
        <v>4.2654600000000001E-2</v>
      </c>
      <c r="J21" s="760">
        <f t="shared" si="3"/>
        <v>0</v>
      </c>
      <c r="K21" s="760">
        <f t="shared" si="3"/>
        <v>0</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headerFooter>
    <oddFooter>&amp;C&amp;1#&amp;"Calibri"&amp;12&amp;K008000Internal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D119CE5813C141ADA267664DB7A0C2" ma:contentTypeVersion="3" ma:contentTypeDescription="Create a new document." ma:contentTypeScope="" ma:versionID="d50a52fef446baabae63130bd21e3966">
  <xsd:schema xmlns:xsd="http://www.w3.org/2001/XMLSchema" xmlns:xs="http://www.w3.org/2001/XMLSchema" xmlns:p="http://schemas.microsoft.com/office/2006/metadata/properties" xmlns:ns2="3ea75854-279e-4633-9f58-d37b9e968ebf" targetNamespace="http://schemas.microsoft.com/office/2006/metadata/properties" ma:root="true" ma:fieldsID="a5ed418ed9e7d9a96d6517df9b61fe69" ns2:_="">
    <xsd:import namespace="3ea75854-279e-4633-9f58-d37b9e968ebf"/>
    <xsd:element name="properties">
      <xsd:complexType>
        <xsd:sequence>
          <xsd:element name="documentManagement">
            <xsd:complexType>
              <xsd:all>
                <xsd:element ref="ns2:Licensee" minOccurs="0"/>
                <xsd:element ref="ns2:Regulatory_x0020_Year" minOccurs="0"/>
                <xsd:element ref="ns2:Document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75854-279e-4633-9f58-d37b9e968ebf" elementFormDefault="qualified">
    <xsd:import namespace="http://schemas.microsoft.com/office/2006/documentManagement/types"/>
    <xsd:import namespace="http://schemas.microsoft.com/office/infopath/2007/PartnerControls"/>
    <xsd:element name="Licensee" ma:index="8" nillable="true" ma:displayName="Licensee" ma:description="SPW EN REG LIFIN" ma:format="Dropdown" ma:internalName="Licensee">
      <xsd:simpleType>
        <xsd:restriction base="dms:Choice">
          <xsd:enumeration value="SPT"/>
          <xsd:enumeration value="SPD"/>
          <xsd:enumeration value="SPM"/>
          <xsd:enumeration value="SPD/SPM"/>
          <xsd:enumeration value="SPD/SPM/SPT"/>
        </xsd:restriction>
      </xsd:simpleType>
    </xsd:element>
    <xsd:element name="Regulatory_x0020_Year" ma:index="9" nillable="true" ma:displayName="Regulatory Year" ma:description="Regulatory year to which document relates" ma:format="Dropdown" ma:internalName="Regulatory_x0020_Year">
      <xsd:simpleType>
        <xsd:restriction base="dms:Choice">
          <xsd:enumeration value="2005/06"/>
          <xsd:enumeration value="2006/07"/>
          <xsd:enumeration value="2007/08"/>
          <xsd:enumeration value="2008/09"/>
          <xsd:enumeration value="2009/10"/>
          <xsd:enumeration value="2010/11"/>
          <xsd:enumeration value="2011/12"/>
          <xsd:enumeration value="2012/13"/>
          <xsd:enumeration value="2013/14"/>
          <xsd:enumeration value="2014/15"/>
          <xsd:enumeration value="2015/16"/>
          <xsd:enumeration value="2016/17"/>
          <xsd:enumeration value="2017/18"/>
          <xsd:enumeration value="2018/19"/>
          <xsd:enumeration value="2019/20"/>
          <xsd:enumeration value="2020/21"/>
          <xsd:enumeration value="2021/22"/>
          <xsd:enumeration value="2022/23"/>
        </xsd:restriction>
      </xsd:simpleType>
    </xsd:element>
    <xsd:element name="Document_x0020_Status" ma:index="10" nillable="true" ma:displayName="Document Status" ma:description="Status of the document" ma:format="Dropdown" ma:internalName="Document_x0020_Status">
      <xsd:simpleType>
        <xsd:restriction base="dms:Choice">
          <xsd:enumeration value="In Progress"/>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3ea75854-279e-4633-9f58-d37b9e968ebf" xsi:nil="true"/>
    <Licensee xmlns="3ea75854-279e-4633-9f58-d37b9e968ebf" xsi:nil="true"/>
    <Regulatory_x0020_Year xmlns="3ea75854-279e-4633-9f58-d37b9e968ebf" xsi:nil="true"/>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E162E689-60A6-4DDD-AF52-087B8FD2A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a75854-279e-4633-9f58-d37b9e968e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285FE4-1466-4BF7-8FA9-67F63A3D57B8}">
  <ds:schemaRefs>
    <ds:schemaRef ds:uri="http://purl.org/dc/elements/1.1/"/>
    <ds:schemaRef ds:uri="http://schemas.microsoft.com/office/2006/metadata/properties"/>
    <ds:schemaRef ds:uri="http://purl.org/dc/terms/"/>
    <ds:schemaRef ds:uri="http://schemas.openxmlformats.org/package/2006/metadata/core-properties"/>
    <ds:schemaRef ds:uri="3ea75854-279e-4633-9f58-d37b9e968eb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E07DF6A9-1F8A-42F1-B6F2-291D3C4FB44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RFPR reporting pack template v2.1</dc:title>
  <dc:subject/>
  <dc:creator>Mick Watson</dc:creator>
  <cp:lastModifiedBy>Holland, David</cp:lastModifiedBy>
  <cp:lastPrinted>2018-10-02T10:25:02Z</cp:lastPrinted>
  <dcterms:created xsi:type="dcterms:W3CDTF">2018-06-13T08:32:09Z</dcterms:created>
  <dcterms:modified xsi:type="dcterms:W3CDTF">2021-07-27T17:03:22Z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0x0101005CD119CE5813C141ADA267664DB7A0C2</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MSIP_Label_019c027e-33b7-45fc-a572-8ffa5d09ec36_Enabled">
    <vt:lpwstr>true</vt:lpwstr>
  </property>
  <property fmtid="{D5CDD505-2E9C-101B-9397-08002B2CF9AE}" pid="17" name="MSIP_Label_019c027e-33b7-45fc-a572-8ffa5d09ec36_SetDate">
    <vt:lpwstr>2021-07-27T17:03:13Z</vt:lpwstr>
  </property>
  <property fmtid="{D5CDD505-2E9C-101B-9397-08002B2CF9AE}" pid="18" name="MSIP_Label_019c027e-33b7-45fc-a572-8ffa5d09ec36_Method">
    <vt:lpwstr>Standard</vt:lpwstr>
  </property>
  <property fmtid="{D5CDD505-2E9C-101B-9397-08002B2CF9AE}" pid="19" name="MSIP_Label_019c027e-33b7-45fc-a572-8ffa5d09ec36_Name">
    <vt:lpwstr>Internal Use</vt:lpwstr>
  </property>
  <property fmtid="{D5CDD505-2E9C-101B-9397-08002B2CF9AE}" pid="20" name="MSIP_Label_019c027e-33b7-45fc-a572-8ffa5d09ec36_SiteId">
    <vt:lpwstr>031a09bc-a2bf-44df-888e-4e09355b7a24</vt:lpwstr>
  </property>
  <property fmtid="{D5CDD505-2E9C-101B-9397-08002B2CF9AE}" pid="21" name="MSIP_Label_019c027e-33b7-45fc-a572-8ffa5d09ec36_ActionId">
    <vt:lpwstr>575a263f-c838-4cd2-b462-1571e0e8a97b</vt:lpwstr>
  </property>
  <property fmtid="{D5CDD505-2E9C-101B-9397-08002B2CF9AE}" pid="22" name="MSIP_Label_019c027e-33b7-45fc-a572-8ffa5d09ec36_ContentBits">
    <vt:lpwstr>2</vt:lpwstr>
  </property>
</Properties>
</file>