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645" windowHeight="6705" tabRatio="847" activeTab="4"/>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Financing'!$A$1:$L$85</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J60" i="1"/>
  <c r="I60" i="1"/>
  <c r="H60" i="1"/>
  <c r="G60" i="1"/>
  <c r="F60" i="1"/>
  <c r="E60" i="1"/>
  <c r="D60" i="1"/>
  <c r="K59" i="1"/>
  <c r="J59" i="1"/>
  <c r="I59" i="1"/>
  <c r="H59" i="1"/>
  <c r="G59" i="1"/>
  <c r="F59" i="1"/>
  <c r="E59" i="1"/>
  <c r="D59" i="1"/>
  <c r="N40" i="1" l="1"/>
  <c r="M40" i="1"/>
  <c r="N21" i="1"/>
  <c r="M21" i="1"/>
  <c r="N60" i="1"/>
  <c r="M60" i="1"/>
  <c r="N59" i="1"/>
  <c r="M59" i="1"/>
  <c r="D40" i="1"/>
  <c r="K40" i="1"/>
  <c r="J40" i="1"/>
  <c r="I40" i="1"/>
  <c r="H40" i="1"/>
  <c r="G40" i="1"/>
  <c r="F40" i="1"/>
  <c r="E40" i="1"/>
  <c r="K21" i="1"/>
  <c r="J21" i="1"/>
  <c r="I21" i="1"/>
  <c r="H21" i="1"/>
  <c r="G21" i="1"/>
  <c r="F21" i="1"/>
  <c r="E21" i="1"/>
  <c r="D21" i="1"/>
  <c r="K11" i="3" l="1"/>
  <c r="J11" i="3"/>
  <c r="I11" i="3"/>
  <c r="H11" i="3"/>
  <c r="G49" i="4" l="1"/>
  <c r="G14" i="4" l="1"/>
  <c r="E14" i="4"/>
  <c r="F14" i="4"/>
  <c r="B3" i="1" l="1"/>
  <c r="B3" i="11" l="1"/>
  <c r="B3" i="3"/>
  <c r="B3" i="17"/>
  <c r="B3" i="27"/>
  <c r="K23" i="15" l="1"/>
  <c r="K18" i="15"/>
  <c r="J18" i="15"/>
  <c r="J23" i="15" s="1"/>
  <c r="I18" i="15"/>
  <c r="I23" i="15" s="1"/>
  <c r="H18" i="15"/>
  <c r="H23" i="15" s="1"/>
  <c r="F18" i="15"/>
  <c r="F23" i="15" s="1"/>
  <c r="E18" i="15"/>
  <c r="E23" i="15" s="1"/>
  <c r="D18" i="15"/>
  <c r="D23" i="15" s="1"/>
  <c r="K17" i="3" l="1"/>
  <c r="J17" i="3"/>
  <c r="I17" i="3"/>
  <c r="H17" i="3"/>
  <c r="G17" i="3"/>
  <c r="G18" i="4" s="1"/>
  <c r="F17" i="3"/>
  <c r="F18" i="4" s="1"/>
  <c r="E17" i="3"/>
  <c r="E18" i="4" s="1"/>
  <c r="D17" i="3" l="1"/>
  <c r="H102" i="5"/>
  <c r="E54" i="17" l="1"/>
  <c r="I54" i="17"/>
  <c r="F54" i="17"/>
  <c r="K54" i="17"/>
  <c r="D54" i="17"/>
  <c r="J54" i="17"/>
  <c r="G54" i="17"/>
  <c r="H54" i="17"/>
  <c r="M54" i="17" l="1"/>
  <c r="K12" i="3" l="1"/>
  <c r="J12" i="3"/>
  <c r="I12" i="3"/>
  <c r="H12" i="3"/>
  <c r="G12" i="3"/>
  <c r="F12" i="3"/>
  <c r="E12" i="3"/>
  <c r="D12" i="3"/>
  <c r="E17" i="4" l="1"/>
  <c r="F17" i="4"/>
  <c r="G17" i="4"/>
  <c r="A110" i="5"/>
  <c r="E102" i="5"/>
  <c r="E15" i="4" s="1"/>
  <c r="F102" i="5"/>
  <c r="F15" i="4" s="1"/>
  <c r="G102" i="5"/>
  <c r="G15" i="4" s="1"/>
  <c r="I102" i="5"/>
  <c r="D102" i="5"/>
  <c r="A100" i="5"/>
  <c r="A111" i="5" s="1"/>
  <c r="A97" i="5"/>
  <c r="E18" i="5"/>
  <c r="F18" i="5"/>
  <c r="G18" i="5"/>
  <c r="H18" i="5"/>
  <c r="I18" i="5"/>
  <c r="J18" i="5"/>
  <c r="K18" i="5"/>
  <c r="D18" i="5"/>
  <c r="H73" i="5"/>
  <c r="D73" i="5"/>
  <c r="K73" i="5"/>
  <c r="F69" i="5"/>
  <c r="G69" i="5"/>
  <c r="H69" i="5"/>
  <c r="J69" i="5"/>
  <c r="K69" i="5"/>
  <c r="D69" i="5"/>
  <c r="A69" i="5"/>
  <c r="E69" i="5" s="1"/>
  <c r="M16" i="5"/>
  <c r="M17" i="5"/>
  <c r="A44" i="5"/>
  <c r="A45" i="5"/>
  <c r="I69" i="5" l="1"/>
  <c r="E73" i="5"/>
  <c r="I73" i="5"/>
  <c r="F73" i="5"/>
  <c r="J73" i="5"/>
  <c r="G73" i="5"/>
  <c r="M73" i="5" l="1"/>
  <c r="M69" i="5"/>
  <c r="F153" i="28" l="1"/>
  <c r="F152" i="28"/>
  <c r="E182" i="28"/>
  <c r="F155" i="28" s="1"/>
  <c r="B182" i="28"/>
  <c r="F154" i="28" s="1"/>
  <c r="E192" i="28"/>
  <c r="F157" i="28" s="1"/>
  <c r="B192" i="28"/>
  <c r="F156" i="28" s="1"/>
  <c r="E202" i="28"/>
  <c r="F159" i="28" s="1"/>
  <c r="B202" i="28"/>
  <c r="F158" i="28" s="1"/>
  <c r="K46" i="15" l="1"/>
  <c r="J46" i="15"/>
  <c r="I46" i="15"/>
  <c r="H46" i="15"/>
  <c r="G43" i="28" l="1"/>
  <c r="H43" i="28"/>
  <c r="I43" i="28"/>
  <c r="J43" i="28" l="1"/>
  <c r="K62" i="29"/>
  <c r="J62" i="29"/>
  <c r="I62" i="29"/>
  <c r="H62" i="29"/>
  <c r="G62" i="29"/>
  <c r="E62" i="29"/>
  <c r="D62" i="29"/>
  <c r="K68" i="29"/>
  <c r="J68" i="29"/>
  <c r="I68" i="29"/>
  <c r="H68" i="29"/>
  <c r="G68" i="29"/>
  <c r="E68" i="29"/>
  <c r="D68" i="29"/>
  <c r="F68" i="29"/>
  <c r="F62" i="29"/>
  <c r="G70" i="29" l="1"/>
  <c r="G74" i="29" s="1"/>
  <c r="H70" i="29"/>
  <c r="H74" i="29" s="1"/>
  <c r="E70" i="29"/>
  <c r="E74" i="29" s="1"/>
  <c r="I70" i="29"/>
  <c r="I74" i="29" s="1"/>
  <c r="D70" i="29"/>
  <c r="D74" i="29" s="1"/>
  <c r="J70" i="29"/>
  <c r="J74" i="29" s="1"/>
  <c r="F70" i="29"/>
  <c r="F74" i="29" s="1"/>
  <c r="K70" i="29"/>
  <c r="K74" i="29" s="1"/>
  <c r="D118" i="28" l="1"/>
  <c r="E118" i="28" s="1"/>
  <c r="F118" i="28" s="1"/>
  <c r="G118" i="28" s="1"/>
  <c r="H118" i="28" s="1"/>
  <c r="I118" i="28" s="1"/>
  <c r="J118" i="28" s="1"/>
  <c r="K118" i="28" s="1"/>
  <c r="L118" i="28" s="1"/>
  <c r="A22" i="5" l="1"/>
  <c r="A23" i="5"/>
  <c r="A24" i="5"/>
  <c r="A25" i="5"/>
  <c r="A21" i="5"/>
  <c r="K19" i="29" l="1"/>
  <c r="J19" i="29"/>
  <c r="I19" i="29"/>
  <c r="H19" i="29"/>
  <c r="G19" i="29"/>
  <c r="F19" i="29"/>
  <c r="E19" i="29"/>
  <c r="D19" i="29"/>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G13" i="11"/>
  <c r="F13" i="11"/>
  <c r="E13" i="11"/>
  <c r="D13" i="11"/>
  <c r="L72" i="28" l="1"/>
  <c r="M72" i="28" s="1"/>
  <c r="N72" i="28" s="1"/>
  <c r="O72" i="28" s="1"/>
  <c r="P72" i="28" s="1"/>
  <c r="Q72" i="28" s="1"/>
  <c r="R72" i="28" s="1"/>
  <c r="S72" i="28" s="1"/>
  <c r="T72" i="28" s="1"/>
  <c r="K28" i="10" l="1"/>
  <c r="J28" i="10"/>
  <c r="I28" i="10"/>
  <c r="H28" i="10"/>
  <c r="G28" i="10"/>
  <c r="F28" i="10"/>
  <c r="E28" i="10"/>
  <c r="D28" i="10"/>
  <c r="D24" i="10"/>
  <c r="D18" i="10"/>
  <c r="A65" i="5" l="1"/>
  <c r="A61" i="5"/>
  <c r="A57" i="5"/>
  <c r="A53" i="5"/>
  <c r="A49" i="5"/>
  <c r="A40" i="5"/>
  <c r="A41" i="5"/>
  <c r="A42" i="5"/>
  <c r="A43" i="5"/>
  <c r="A39" i="5"/>
  <c r="A85" i="5"/>
  <c r="A106" i="5" s="1"/>
  <c r="A88" i="5"/>
  <c r="A107" i="5" s="1"/>
  <c r="A91" i="5"/>
  <c r="A108" i="5" s="1"/>
  <c r="A94" i="5"/>
  <c r="A109" i="5" s="1"/>
  <c r="A82" i="5"/>
  <c r="A105" i="5" s="1"/>
  <c r="K53" i="5" l="1"/>
  <c r="G53" i="5"/>
  <c r="J53" i="5"/>
  <c r="F53" i="5"/>
  <c r="I53" i="5"/>
  <c r="E53" i="5"/>
  <c r="H53" i="5"/>
  <c r="D53" i="5"/>
  <c r="K57" i="5"/>
  <c r="G57" i="5"/>
  <c r="J57" i="5"/>
  <c r="F57" i="5"/>
  <c r="I57" i="5"/>
  <c r="E57" i="5"/>
  <c r="H57" i="5"/>
  <c r="D57" i="5"/>
  <c r="K61" i="5"/>
  <c r="G61" i="5"/>
  <c r="J61" i="5"/>
  <c r="F61" i="5"/>
  <c r="I61" i="5"/>
  <c r="E61" i="5"/>
  <c r="H61" i="5"/>
  <c r="D61" i="5"/>
  <c r="K49" i="5"/>
  <c r="G49" i="5"/>
  <c r="J49" i="5"/>
  <c r="F49" i="5"/>
  <c r="I49" i="5"/>
  <c r="E49" i="5"/>
  <c r="H49" i="5"/>
  <c r="D49" i="5"/>
  <c r="K65" i="5"/>
  <c r="G65" i="5"/>
  <c r="J65" i="5"/>
  <c r="F65" i="5"/>
  <c r="I65" i="5"/>
  <c r="E65" i="5"/>
  <c r="H65" i="5"/>
  <c r="D65" i="5"/>
  <c r="E19" i="19"/>
  <c r="F19" i="19"/>
  <c r="G19" i="19"/>
  <c r="H19" i="19"/>
  <c r="I19" i="19"/>
  <c r="J19" i="19"/>
  <c r="K19" i="19"/>
  <c r="D19" i="19"/>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K8" i="27"/>
  <c r="J8" i="27"/>
  <c r="I8" i="27"/>
  <c r="H8" i="27"/>
  <c r="G8" i="27"/>
  <c r="F8" i="27"/>
  <c r="E8" i="27"/>
  <c r="E25" i="28" l="1"/>
  <c r="E26" i="28" s="1"/>
  <c r="E27" i="28" s="1"/>
  <c r="E23" i="27"/>
  <c r="E42" i="27" s="1"/>
  <c r="I23" i="27"/>
  <c r="I42" i="27" s="1"/>
  <c r="F23" i="27"/>
  <c r="F42" i="27" s="1"/>
  <c r="G23" i="27"/>
  <c r="G42" i="27" s="1"/>
  <c r="K23" i="27"/>
  <c r="K42" i="27" s="1"/>
  <c r="J23" i="27"/>
  <c r="J42" i="27" s="1"/>
  <c r="D23" i="27"/>
  <c r="D42" i="27" s="1"/>
  <c r="H23" i="27"/>
  <c r="H42" i="27" s="1"/>
  <c r="H100" i="28" l="1"/>
  <c r="H99" i="28"/>
  <c r="H98" i="28"/>
  <c r="A3" i="29" l="1"/>
  <c r="A2" i="29"/>
  <c r="K78" i="15" l="1"/>
  <c r="J78" i="15"/>
  <c r="I78" i="15"/>
  <c r="H78" i="15"/>
  <c r="K28" i="4" l="1"/>
  <c r="J28" i="4"/>
  <c r="I28" i="4"/>
  <c r="H28" i="4"/>
  <c r="K102" i="5" l="1"/>
  <c r="J102" i="5"/>
  <c r="B129" i="2"/>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K44" i="2"/>
  <c r="M50" i="2"/>
  <c r="M51" i="2"/>
  <c r="M52" i="2"/>
  <c r="M53" i="2"/>
  <c r="M54" i="2"/>
  <c r="M55" i="2"/>
  <c r="D56" i="2"/>
  <c r="E56" i="2"/>
  <c r="F56" i="2"/>
  <c r="G56" i="2"/>
  <c r="H56" i="2"/>
  <c r="I56" i="2"/>
  <c r="J56" i="2"/>
  <c r="K56" i="2"/>
  <c r="D122" i="2"/>
  <c r="E122" i="2"/>
  <c r="F122" i="2"/>
  <c r="G122" i="2"/>
  <c r="H122" i="2"/>
  <c r="I122" i="2"/>
  <c r="J122" i="2"/>
  <c r="K122" i="2"/>
  <c r="J58" i="2" l="1"/>
  <c r="J59" i="2"/>
  <c r="I58" i="2"/>
  <c r="I59" i="2"/>
  <c r="E59" i="2"/>
  <c r="M56" i="2"/>
  <c r="F58" i="2"/>
  <c r="G47" i="2"/>
  <c r="K59" i="2"/>
  <c r="G59" i="2"/>
  <c r="F59" i="2"/>
  <c r="E58" i="2"/>
  <c r="H59" i="2"/>
  <c r="K47" i="2"/>
  <c r="I46" i="2"/>
  <c r="I47" i="2"/>
  <c r="E46" i="2"/>
  <c r="E47" i="2"/>
  <c r="H46" i="2"/>
  <c r="H47" i="2"/>
  <c r="D46" i="2"/>
  <c r="D47" i="2"/>
  <c r="J47" i="2"/>
  <c r="J46" i="2"/>
  <c r="M42" i="2"/>
  <c r="H58" i="2"/>
  <c r="D58" i="2"/>
  <c r="K46" i="2"/>
  <c r="G46" i="2"/>
  <c r="F42" i="2"/>
  <c r="D59" i="2"/>
  <c r="K58" i="2"/>
  <c r="G58" i="2"/>
  <c r="J62" i="2" l="1"/>
  <c r="J63" i="2"/>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L6" i="17" l="1"/>
  <c r="K52" i="27" l="1"/>
  <c r="J52" i="27"/>
  <c r="I52" i="27"/>
  <c r="H52" i="27"/>
  <c r="G52" i="27"/>
  <c r="F52" i="27"/>
  <c r="E52" i="27"/>
  <c r="D52" i="27"/>
  <c r="A3" i="27" l="1"/>
  <c r="A2" i="27"/>
  <c r="M6" i="1" l="1"/>
  <c r="M27" i="2" l="1"/>
  <c r="M26" i="2"/>
  <c r="M25" i="2"/>
  <c r="M24" i="2"/>
  <c r="M23" i="2"/>
  <c r="K64" i="4" l="1"/>
  <c r="J64" i="4"/>
  <c r="I64" i="4"/>
  <c r="H64" i="4"/>
  <c r="G64" i="4"/>
  <c r="F64" i="4"/>
  <c r="E64" i="4"/>
  <c r="D64" i="4"/>
  <c r="K16" i="2" l="1"/>
  <c r="J16" i="2"/>
  <c r="I16" i="2"/>
  <c r="H16" i="2"/>
  <c r="G16" i="2"/>
  <c r="F16" i="2"/>
  <c r="E16" i="2"/>
  <c r="D16" i="2"/>
  <c r="C13" i="13" l="1"/>
  <c r="C33" i="28" l="1"/>
  <c r="C36" i="28" s="1"/>
  <c r="D6" i="29"/>
  <c r="D6" i="5"/>
  <c r="D6" i="20"/>
  <c r="D6" i="19"/>
  <c r="D6" i="27"/>
  <c r="D6" i="17"/>
  <c r="D6" i="11"/>
  <c r="D5" i="11" s="1"/>
  <c r="D6" i="1"/>
  <c r="D6" i="10"/>
  <c r="D22" i="29" l="1"/>
  <c r="D20" i="20"/>
  <c r="D21" i="20" s="1"/>
  <c r="D40" i="10"/>
  <c r="D99" i="5"/>
  <c r="D96" i="5"/>
  <c r="D74" i="5"/>
  <c r="D75" i="5" s="1"/>
  <c r="D45" i="5" s="1"/>
  <c r="D70" i="5"/>
  <c r="D71" i="5" s="1"/>
  <c r="D44" i="5" s="1"/>
  <c r="D5" i="20"/>
  <c r="D93" i="5"/>
  <c r="D90" i="5"/>
  <c r="D87" i="5"/>
  <c r="D84" i="5"/>
  <c r="D81" i="5"/>
  <c r="C32" i="28"/>
  <c r="E6" i="29"/>
  <c r="D33" i="28"/>
  <c r="D36" i="28" s="1"/>
  <c r="D5" i="29"/>
  <c r="D54" i="5"/>
  <c r="D58" i="5"/>
  <c r="D62" i="5"/>
  <c r="D50" i="5"/>
  <c r="D66" i="5"/>
  <c r="D5" i="10"/>
  <c r="E6" i="10"/>
  <c r="E40" i="10" s="1"/>
  <c r="E6" i="11"/>
  <c r="E5" i="11" s="1"/>
  <c r="E6" i="19"/>
  <c r="D5" i="19"/>
  <c r="E6" i="17"/>
  <c r="D5" i="17"/>
  <c r="E6" i="20"/>
  <c r="E6" i="1"/>
  <c r="D5" i="1"/>
  <c r="D5" i="27"/>
  <c r="E6" i="27"/>
  <c r="L6" i="5"/>
  <c r="L6" i="2"/>
  <c r="K17" i="4"/>
  <c r="J17" i="4"/>
  <c r="I17" i="4"/>
  <c r="H17" i="4"/>
  <c r="D6" i="3"/>
  <c r="E6" i="3" s="1"/>
  <c r="D6" i="15"/>
  <c r="D5" i="15" s="1"/>
  <c r="D6" i="4"/>
  <c r="E6" i="4" s="1"/>
  <c r="E5" i="4" s="1"/>
  <c r="E22" i="29" l="1"/>
  <c r="E20" i="20"/>
  <c r="E21" i="20" s="1"/>
  <c r="E33" i="28"/>
  <c r="E36" i="28" s="1"/>
  <c r="E5" i="29"/>
  <c r="F6" i="29"/>
  <c r="D28" i="17"/>
  <c r="D30" i="17" s="1"/>
  <c r="D32" i="28"/>
  <c r="F6" i="27"/>
  <c r="E5" i="27"/>
  <c r="E5" i="1"/>
  <c r="F6" i="1"/>
  <c r="E5" i="20"/>
  <c r="F6" i="20"/>
  <c r="E5" i="10"/>
  <c r="F6" i="10"/>
  <c r="F40" i="10" s="1"/>
  <c r="F6" i="17"/>
  <c r="E5" i="17"/>
  <c r="E5" i="19"/>
  <c r="F6" i="19"/>
  <c r="F6" i="11"/>
  <c r="F5" i="11" s="1"/>
  <c r="E6" i="5"/>
  <c r="D5" i="4"/>
  <c r="F6" i="3"/>
  <c r="E5" i="3"/>
  <c r="D5" i="3"/>
  <c r="D5" i="5"/>
  <c r="E6" i="15"/>
  <c r="E5" i="15" s="1"/>
  <c r="F6" i="4"/>
  <c r="F22" i="29" l="1"/>
  <c r="F20" i="20"/>
  <c r="F21" i="20" s="1"/>
  <c r="D33" i="17"/>
  <c r="E99" i="5"/>
  <c r="E96" i="5"/>
  <c r="E74" i="5"/>
  <c r="E75" i="5" s="1"/>
  <c r="E45" i="5" s="1"/>
  <c r="E70" i="5"/>
  <c r="E71" i="5" s="1"/>
  <c r="E44" i="5" s="1"/>
  <c r="E93" i="5"/>
  <c r="E90" i="5"/>
  <c r="E87" i="5"/>
  <c r="E84" i="5"/>
  <c r="E81" i="5"/>
  <c r="F33" i="28"/>
  <c r="F36" i="28" s="1"/>
  <c r="E32" i="28"/>
  <c r="F5" i="29"/>
  <c r="G6" i="29"/>
  <c r="D44" i="27"/>
  <c r="D48" i="27" s="1"/>
  <c r="D54" i="27" s="1"/>
  <c r="E28" i="17"/>
  <c r="E30" i="17" s="1"/>
  <c r="E5" i="5"/>
  <c r="E66" i="5"/>
  <c r="E67" i="5" s="1"/>
  <c r="E62" i="5"/>
  <c r="E63" i="5" s="1"/>
  <c r="E58" i="5"/>
  <c r="E59" i="5" s="1"/>
  <c r="E54" i="5"/>
  <c r="E55" i="5" s="1"/>
  <c r="E50" i="5"/>
  <c r="E51" i="5" s="1"/>
  <c r="F5" i="10"/>
  <c r="G6" i="10"/>
  <c r="G40" i="10" s="1"/>
  <c r="F5" i="1"/>
  <c r="G6" i="1"/>
  <c r="G6" i="11"/>
  <c r="G5" i="11" s="1"/>
  <c r="G6" i="17"/>
  <c r="F5" i="17"/>
  <c r="F5" i="19"/>
  <c r="G6" i="19"/>
  <c r="G6" i="20"/>
  <c r="F5" i="20"/>
  <c r="G6" i="27"/>
  <c r="F5" i="27"/>
  <c r="F6" i="5"/>
  <c r="F5" i="3"/>
  <c r="G6" i="3"/>
  <c r="F6" i="15"/>
  <c r="F5" i="15" s="1"/>
  <c r="F5" i="4"/>
  <c r="G6" i="4"/>
  <c r="G5" i="4" s="1"/>
  <c r="G22" i="29" l="1"/>
  <c r="G20" i="20"/>
  <c r="G21" i="20" s="1"/>
  <c r="E33" i="17"/>
  <c r="D39" i="17"/>
  <c r="D64" i="17" s="1"/>
  <c r="F99" i="5"/>
  <c r="F96" i="5"/>
  <c r="F70" i="5"/>
  <c r="F71" i="5" s="1"/>
  <c r="F44" i="5" s="1"/>
  <c r="F74" i="5"/>
  <c r="F75" i="5" s="1"/>
  <c r="F45" i="5" s="1"/>
  <c r="G33" i="28"/>
  <c r="G36" i="28" s="1"/>
  <c r="E47" i="27"/>
  <c r="F93" i="5"/>
  <c r="F90" i="5"/>
  <c r="F87" i="5"/>
  <c r="F84" i="5"/>
  <c r="F81" i="5"/>
  <c r="F32" i="28"/>
  <c r="G5" i="29"/>
  <c r="H6" i="29"/>
  <c r="E44" i="27"/>
  <c r="E48" i="27" s="1"/>
  <c r="F47" i="27" s="1"/>
  <c r="F28" i="17"/>
  <c r="F30" i="17" s="1"/>
  <c r="F50" i="5"/>
  <c r="F51" i="5" s="1"/>
  <c r="F66" i="5"/>
  <c r="F67" i="5" s="1"/>
  <c r="F62" i="5"/>
  <c r="F63" i="5" s="1"/>
  <c r="F58" i="5"/>
  <c r="F59" i="5" s="1"/>
  <c r="F54" i="5"/>
  <c r="F55" i="5" s="1"/>
  <c r="G5" i="20"/>
  <c r="H6" i="20"/>
  <c r="G5" i="1"/>
  <c r="H6" i="1"/>
  <c r="H6" i="27"/>
  <c r="G5" i="27"/>
  <c r="G5" i="19"/>
  <c r="H6" i="19"/>
  <c r="H6" i="17"/>
  <c r="G5" i="17"/>
  <c r="G5" i="10"/>
  <c r="H6" i="10"/>
  <c r="H40" i="10" s="1"/>
  <c r="H6" i="11"/>
  <c r="H5" i="11" s="1"/>
  <c r="G6" i="5"/>
  <c r="F5" i="5"/>
  <c r="H6" i="3"/>
  <c r="G5" i="3"/>
  <c r="G6" i="15"/>
  <c r="G5" i="15" s="1"/>
  <c r="H6" i="4"/>
  <c r="H22" i="29" l="1"/>
  <c r="H20" i="20"/>
  <c r="H21" i="20" s="1"/>
  <c r="F33" i="17"/>
  <c r="H33" i="28"/>
  <c r="H36" i="28" s="1"/>
  <c r="G99" i="5"/>
  <c r="G96" i="5"/>
  <c r="G70" i="5"/>
  <c r="G71" i="5" s="1"/>
  <c r="G44" i="5" s="1"/>
  <c r="G74" i="5"/>
  <c r="G75" i="5" s="1"/>
  <c r="G45" i="5" s="1"/>
  <c r="G32" i="28"/>
  <c r="E54" i="27"/>
  <c r="G93" i="5"/>
  <c r="G90" i="5"/>
  <c r="G87" i="5"/>
  <c r="G84" i="5"/>
  <c r="G81" i="5"/>
  <c r="I6" i="29"/>
  <c r="H5" i="29"/>
  <c r="F44" i="27"/>
  <c r="F48" i="27" s="1"/>
  <c r="G47" i="27" s="1"/>
  <c r="G28" i="17"/>
  <c r="G30" i="17" s="1"/>
  <c r="G50" i="5"/>
  <c r="G51" i="5" s="1"/>
  <c r="G39" i="5" s="1"/>
  <c r="G66" i="5"/>
  <c r="G67" i="5" s="1"/>
  <c r="G43" i="5" s="1"/>
  <c r="G62" i="5"/>
  <c r="G63" i="5" s="1"/>
  <c r="G42" i="5" s="1"/>
  <c r="G58" i="5"/>
  <c r="G59" i="5" s="1"/>
  <c r="G41" i="5" s="1"/>
  <c r="G54" i="5"/>
  <c r="G55" i="5" s="1"/>
  <c r="G40" i="5" s="1"/>
  <c r="I6" i="11"/>
  <c r="I5" i="11" s="1"/>
  <c r="H5" i="20"/>
  <c r="I6" i="20"/>
  <c r="H5" i="10"/>
  <c r="I6" i="10"/>
  <c r="I40" i="10" s="1"/>
  <c r="I6" i="17"/>
  <c r="H5" i="17"/>
  <c r="I6" i="1"/>
  <c r="H5" i="1"/>
  <c r="H5" i="19"/>
  <c r="I6" i="19"/>
  <c r="H5" i="27"/>
  <c r="I6" i="27"/>
  <c r="H5" i="4"/>
  <c r="G5" i="5"/>
  <c r="H6" i="5"/>
  <c r="I6" i="3"/>
  <c r="H5" i="3"/>
  <c r="H6" i="15"/>
  <c r="H5" i="15" s="1"/>
  <c r="I6" i="4"/>
  <c r="I5" i="4" s="1"/>
  <c r="I22" i="29" l="1"/>
  <c r="I20" i="20"/>
  <c r="I21" i="20" s="1"/>
  <c r="G33" i="17"/>
  <c r="L54" i="17"/>
  <c r="H32" i="28"/>
  <c r="I33" i="28"/>
  <c r="I36" i="28" s="1"/>
  <c r="E39" i="17"/>
  <c r="E64" i="17" s="1"/>
  <c r="H99" i="5"/>
  <c r="H96" i="5"/>
  <c r="G46" i="5"/>
  <c r="H74" i="5"/>
  <c r="H75" i="5" s="1"/>
  <c r="H70" i="5"/>
  <c r="H71" i="5" s="1"/>
  <c r="F54" i="27"/>
  <c r="H50" i="15"/>
  <c r="H93" i="5"/>
  <c r="H90" i="5"/>
  <c r="H87" i="5"/>
  <c r="H84" i="5"/>
  <c r="H81" i="5"/>
  <c r="J6" i="29"/>
  <c r="J20" i="20" s="1"/>
  <c r="J21" i="20" s="1"/>
  <c r="I5" i="29"/>
  <c r="G44" i="27"/>
  <c r="G48" i="27" s="1"/>
  <c r="H47" i="27" s="1"/>
  <c r="H28" i="17"/>
  <c r="H30" i="17" s="1"/>
  <c r="G53" i="1"/>
  <c r="G54" i="1"/>
  <c r="G55" i="1"/>
  <c r="G52" i="1"/>
  <c r="G51" i="1"/>
  <c r="H50" i="5"/>
  <c r="H51" i="5" s="1"/>
  <c r="H39" i="5" s="1"/>
  <c r="H66" i="5"/>
  <c r="H67" i="5" s="1"/>
  <c r="H43" i="5" s="1"/>
  <c r="H62" i="5"/>
  <c r="H63" i="5" s="1"/>
  <c r="H42" i="5" s="1"/>
  <c r="H58" i="5"/>
  <c r="H59" i="5" s="1"/>
  <c r="H41" i="5" s="1"/>
  <c r="H54" i="5"/>
  <c r="H55" i="5" s="1"/>
  <c r="H40" i="5" s="1"/>
  <c r="J6" i="1"/>
  <c r="I5" i="1"/>
  <c r="J6" i="19"/>
  <c r="I5" i="19"/>
  <c r="I5" i="10"/>
  <c r="J6" i="10"/>
  <c r="J40" i="10" s="1"/>
  <c r="J6" i="11"/>
  <c r="J5" i="11" s="1"/>
  <c r="J6" i="27"/>
  <c r="I5" i="27"/>
  <c r="J6" i="17"/>
  <c r="I5" i="17"/>
  <c r="J6" i="20"/>
  <c r="I5" i="20"/>
  <c r="H5" i="5"/>
  <c r="I6" i="5"/>
  <c r="L73" i="5" s="1"/>
  <c r="J6" i="3"/>
  <c r="I5" i="3"/>
  <c r="I6" i="15"/>
  <c r="I5" i="15" s="1"/>
  <c r="J6" i="4"/>
  <c r="H33" i="17" l="1"/>
  <c r="I32" i="28"/>
  <c r="J33" i="28"/>
  <c r="J36" i="28" s="1"/>
  <c r="F39" i="17"/>
  <c r="F64" i="17" s="1"/>
  <c r="J5" i="29"/>
  <c r="J22" i="29"/>
  <c r="L69" i="5"/>
  <c r="L17" i="5"/>
  <c r="H45" i="5"/>
  <c r="H44" i="5"/>
  <c r="I99" i="5"/>
  <c r="I96" i="5"/>
  <c r="I70" i="5"/>
  <c r="I71" i="5" s="1"/>
  <c r="I44" i="5" s="1"/>
  <c r="I74" i="5"/>
  <c r="I75" i="5" s="1"/>
  <c r="I45" i="5" s="1"/>
  <c r="G54" i="27"/>
  <c r="I87" i="5"/>
  <c r="I84" i="5"/>
  <c r="I81" i="5"/>
  <c r="I93" i="5"/>
  <c r="I90" i="5"/>
  <c r="I50" i="15"/>
  <c r="K6" i="29"/>
  <c r="J32" i="28"/>
  <c r="H44" i="27"/>
  <c r="H48" i="27" s="1"/>
  <c r="I47" i="27" s="1"/>
  <c r="I28" i="17"/>
  <c r="I30" i="17" s="1"/>
  <c r="H55" i="1"/>
  <c r="H52" i="1"/>
  <c r="H51" i="1"/>
  <c r="H53" i="1"/>
  <c r="H54" i="1"/>
  <c r="I66" i="5"/>
  <c r="I67" i="5" s="1"/>
  <c r="I43" i="5" s="1"/>
  <c r="I62" i="5"/>
  <c r="I63" i="5" s="1"/>
  <c r="I42" i="5" s="1"/>
  <c r="I58" i="5"/>
  <c r="I59" i="5" s="1"/>
  <c r="I41" i="5" s="1"/>
  <c r="I54" i="5"/>
  <c r="I55" i="5" s="1"/>
  <c r="I40" i="5" s="1"/>
  <c r="I50" i="5"/>
  <c r="I51" i="5" s="1"/>
  <c r="I39" i="5" s="1"/>
  <c r="K6" i="20"/>
  <c r="J5" i="20"/>
  <c r="K6" i="27"/>
  <c r="J5" i="27"/>
  <c r="K6" i="19"/>
  <c r="K5" i="19" s="1"/>
  <c r="J5" i="19"/>
  <c r="J5" i="10"/>
  <c r="K6" i="10"/>
  <c r="K40" i="10" s="1"/>
  <c r="K6" i="17"/>
  <c r="J5" i="17"/>
  <c r="K6" i="11"/>
  <c r="K5" i="11" s="1"/>
  <c r="K6" i="1"/>
  <c r="J5" i="1"/>
  <c r="J6" i="5"/>
  <c r="J5" i="4"/>
  <c r="I5" i="5"/>
  <c r="J5" i="3"/>
  <c r="K6" i="3"/>
  <c r="J6" i="15"/>
  <c r="J5" i="15" s="1"/>
  <c r="J82" i="15" s="1"/>
  <c r="K6" i="4"/>
  <c r="K5" i="4" s="1"/>
  <c r="K22" i="29" l="1"/>
  <c r="K20" i="20"/>
  <c r="K21" i="20" s="1"/>
  <c r="I33" i="17"/>
  <c r="K5" i="1"/>
  <c r="G39" i="17"/>
  <c r="G64" i="17" s="1"/>
  <c r="L45" i="5"/>
  <c r="H46" i="5"/>
  <c r="L44" i="5"/>
  <c r="L71" i="5"/>
  <c r="L75" i="5"/>
  <c r="J99" i="5"/>
  <c r="J96" i="5"/>
  <c r="I46" i="5"/>
  <c r="J70" i="5"/>
  <c r="J71" i="5" s="1"/>
  <c r="J44" i="5" s="1"/>
  <c r="J74" i="5"/>
  <c r="J75" i="5" s="1"/>
  <c r="J45" i="5" s="1"/>
  <c r="H54" i="27"/>
  <c r="J50" i="15"/>
  <c r="J90" i="5"/>
  <c r="J87" i="5"/>
  <c r="J84" i="5"/>
  <c r="J81" i="5"/>
  <c r="J93" i="5"/>
  <c r="K5" i="29"/>
  <c r="K5" i="27"/>
  <c r="I44" i="27"/>
  <c r="I48" i="27" s="1"/>
  <c r="J47" i="27" s="1"/>
  <c r="K5" i="17"/>
  <c r="J28" i="17"/>
  <c r="J30" i="17" s="1"/>
  <c r="K5" i="20"/>
  <c r="I51" i="1"/>
  <c r="I52" i="1"/>
  <c r="I55" i="1"/>
  <c r="I53" i="1"/>
  <c r="I54" i="1"/>
  <c r="K5" i="10"/>
  <c r="J5" i="5"/>
  <c r="J66" i="5"/>
  <c r="J67" i="5" s="1"/>
  <c r="J43" i="5" s="1"/>
  <c r="J62" i="5"/>
  <c r="J63" i="5" s="1"/>
  <c r="J42" i="5" s="1"/>
  <c r="J58" i="5"/>
  <c r="J59" i="5" s="1"/>
  <c r="J41" i="5" s="1"/>
  <c r="J54" i="5"/>
  <c r="J55" i="5" s="1"/>
  <c r="J40" i="5" s="1"/>
  <c r="J50" i="5"/>
  <c r="J51" i="5" s="1"/>
  <c r="J39" i="5" s="1"/>
  <c r="K6" i="5"/>
  <c r="K5" i="3"/>
  <c r="K6" i="15"/>
  <c r="K5" i="15" s="1"/>
  <c r="K82" i="15" s="1"/>
  <c r="J33" i="17" l="1"/>
  <c r="H39" i="17"/>
  <c r="H64" i="17" s="1"/>
  <c r="J46" i="5"/>
  <c r="K74" i="5"/>
  <c r="K75" i="5" s="1"/>
  <c r="K99" i="5"/>
  <c r="K96" i="5"/>
  <c r="L16" i="5"/>
  <c r="K70" i="5"/>
  <c r="K71" i="5" s="1"/>
  <c r="I54" i="27"/>
  <c r="K93" i="5"/>
  <c r="K90" i="5"/>
  <c r="K87" i="5"/>
  <c r="K84" i="5"/>
  <c r="K81" i="5"/>
  <c r="K50" i="15"/>
  <c r="J44" i="27"/>
  <c r="J48" i="27" s="1"/>
  <c r="K47" i="27" s="1"/>
  <c r="K28" i="17"/>
  <c r="K30" i="17" s="1"/>
  <c r="J55" i="1"/>
  <c r="J52" i="1"/>
  <c r="J51" i="1"/>
  <c r="J53" i="1"/>
  <c r="J54" i="1"/>
  <c r="K50" i="5"/>
  <c r="K51" i="5" s="1"/>
  <c r="K39" i="5" s="1"/>
  <c r="K66" i="5"/>
  <c r="K67" i="5" s="1"/>
  <c r="K43" i="5" s="1"/>
  <c r="K62" i="5"/>
  <c r="K63" i="5" s="1"/>
  <c r="K42" i="5" s="1"/>
  <c r="K58" i="5"/>
  <c r="K59" i="5" s="1"/>
  <c r="K41" i="5" s="1"/>
  <c r="K54" i="5"/>
  <c r="K55" i="5" s="1"/>
  <c r="K40" i="5" s="1"/>
  <c r="K5" i="5"/>
  <c r="K33" i="17" l="1"/>
  <c r="I39" i="17"/>
  <c r="I64" i="17" s="1"/>
  <c r="M71" i="5"/>
  <c r="K44" i="5"/>
  <c r="M44" i="5" s="1"/>
  <c r="M75" i="5"/>
  <c r="K45" i="5"/>
  <c r="M45" i="5" s="1"/>
  <c r="J54" i="27"/>
  <c r="K44" i="27"/>
  <c r="K48" i="27" s="1"/>
  <c r="K54" i="27" s="1"/>
  <c r="K51" i="1"/>
  <c r="K53" i="1"/>
  <c r="K54" i="1"/>
  <c r="K55" i="1"/>
  <c r="K52" i="1"/>
  <c r="K46" i="5" l="1"/>
  <c r="K39" i="17"/>
  <c r="K64" i="17" s="1"/>
  <c r="J39" i="17"/>
  <c r="J64" i="17" s="1"/>
  <c r="C6" i="13" l="1"/>
  <c r="D36" i="10" s="1"/>
  <c r="C14" i="13"/>
  <c r="C89" i="29" s="1"/>
  <c r="C88" i="29" l="1"/>
  <c r="C86" i="29"/>
  <c r="C31" i="10"/>
  <c r="C69" i="17"/>
  <c r="C55" i="17"/>
  <c r="C45" i="5"/>
  <c r="C44" i="5"/>
  <c r="C69" i="5"/>
  <c r="C73" i="5"/>
  <c r="C35" i="28"/>
  <c r="D34" i="10" s="1"/>
  <c r="D35" i="28"/>
  <c r="E34" i="10" s="1"/>
  <c r="E35" i="28"/>
  <c r="F34" i="10" s="1"/>
  <c r="F35" i="28"/>
  <c r="G34" i="10" s="1"/>
  <c r="G35" i="28"/>
  <c r="H34" i="10" s="1"/>
  <c r="I35" i="28"/>
  <c r="J34" i="10" s="1"/>
  <c r="H35" i="28"/>
  <c r="I34" i="10" s="1"/>
  <c r="J35" i="28"/>
  <c r="K34" i="10" s="1"/>
  <c r="C8" i="20"/>
  <c r="C16" i="5"/>
  <c r="C17" i="5"/>
  <c r="C61" i="1"/>
  <c r="C81" i="29"/>
  <c r="C62" i="1"/>
  <c r="C59" i="1"/>
  <c r="C63" i="1"/>
  <c r="C53" i="29"/>
  <c r="C60" i="1"/>
  <c r="C79" i="29"/>
  <c r="C89" i="17"/>
  <c r="C68" i="17"/>
  <c r="C87" i="17"/>
  <c r="E153" i="28"/>
  <c r="E157" i="28"/>
  <c r="E154" i="28"/>
  <c r="E158" i="28"/>
  <c r="E155" i="28"/>
  <c r="E159" i="28"/>
  <c r="E156" i="28"/>
  <c r="E152" i="28"/>
  <c r="C43" i="17"/>
  <c r="C79" i="2"/>
  <c r="B46" i="1"/>
  <c r="C28" i="3"/>
  <c r="C62" i="29"/>
  <c r="C67" i="29"/>
  <c r="C72" i="29"/>
  <c r="C61" i="29"/>
  <c r="C66" i="29"/>
  <c r="C71" i="29"/>
  <c r="C68" i="29"/>
  <c r="C73" i="29"/>
  <c r="C34" i="28"/>
  <c r="D28" i="3" s="1"/>
  <c r="D34" i="28"/>
  <c r="E28" i="3" s="1"/>
  <c r="E34" i="28"/>
  <c r="F28" i="3" s="1"/>
  <c r="G34" i="28"/>
  <c r="H28" i="3" s="1"/>
  <c r="F34" i="28"/>
  <c r="G28" i="3" s="1"/>
  <c r="H34" i="28"/>
  <c r="I28" i="3" s="1"/>
  <c r="I34" i="28"/>
  <c r="J28" i="3" s="1"/>
  <c r="J34" i="28"/>
  <c r="K28" i="3" s="1"/>
  <c r="B149" i="28"/>
  <c r="C74" i="29"/>
  <c r="C49" i="10"/>
  <c r="C51" i="10"/>
  <c r="C45" i="10"/>
  <c r="C29" i="10"/>
  <c r="C25" i="10"/>
  <c r="C21" i="10"/>
  <c r="C17" i="10"/>
  <c r="C28" i="10"/>
  <c r="C24" i="10"/>
  <c r="C20" i="10"/>
  <c r="C16" i="10"/>
  <c r="C27" i="10"/>
  <c r="C23" i="10"/>
  <c r="C19" i="10"/>
  <c r="C11" i="10"/>
  <c r="C26" i="10"/>
  <c r="C22" i="10"/>
  <c r="C18" i="10"/>
  <c r="C79" i="17"/>
  <c r="C19" i="19"/>
  <c r="C18" i="19"/>
  <c r="C14" i="19"/>
  <c r="B51" i="28"/>
  <c r="B38" i="2" s="1"/>
  <c r="B116" i="2" s="1"/>
  <c r="B48" i="28"/>
  <c r="C66" i="1"/>
  <c r="C51" i="1"/>
  <c r="C55" i="1"/>
  <c r="C54" i="1"/>
  <c r="C65" i="1"/>
  <c r="C52" i="1"/>
  <c r="C56" i="1"/>
  <c r="C58" i="1"/>
  <c r="C49" i="1"/>
  <c r="C53" i="1"/>
  <c r="C57" i="1"/>
  <c r="C50" i="1"/>
  <c r="C48" i="1"/>
  <c r="C83" i="29"/>
  <c r="C41" i="29"/>
  <c r="C60" i="29"/>
  <c r="C62" i="27"/>
  <c r="C63" i="27"/>
  <c r="C61" i="27"/>
  <c r="C40" i="2"/>
  <c r="C58" i="2"/>
  <c r="C62" i="2"/>
  <c r="C70" i="2"/>
  <c r="C41" i="2"/>
  <c r="C46" i="2"/>
  <c r="C51" i="2"/>
  <c r="C53" i="2"/>
  <c r="C55" i="2"/>
  <c r="C59" i="2"/>
  <c r="C63" i="2"/>
  <c r="C71" i="2"/>
  <c r="C42" i="2"/>
  <c r="C47" i="2"/>
  <c r="C64" i="2"/>
  <c r="C50" i="2"/>
  <c r="C52" i="2"/>
  <c r="C54" i="2"/>
  <c r="C56" i="2"/>
  <c r="C69" i="2"/>
  <c r="C17" i="19"/>
  <c r="C85" i="17"/>
  <c r="C78" i="17"/>
  <c r="C50" i="10"/>
  <c r="C46" i="10"/>
  <c r="C47" i="10"/>
  <c r="C77" i="2"/>
  <c r="C36" i="2"/>
  <c r="C65" i="5"/>
  <c r="C61" i="5"/>
  <c r="C57" i="5"/>
  <c r="C53" i="5"/>
  <c r="C49" i="5"/>
  <c r="C14" i="5"/>
  <c r="C13" i="5"/>
  <c r="C15" i="5"/>
  <c r="C11" i="5"/>
  <c r="C46" i="5"/>
  <c r="C43" i="5"/>
  <c r="C42" i="5"/>
  <c r="C41" i="5"/>
  <c r="C40" i="5"/>
  <c r="C39" i="5"/>
  <c r="C12" i="5"/>
  <c r="C18" i="5"/>
  <c r="C10" i="4"/>
  <c r="C12" i="4"/>
  <c r="C11" i="4"/>
  <c r="C14" i="2"/>
  <c r="C22" i="2"/>
  <c r="C26" i="2"/>
  <c r="C31" i="2"/>
  <c r="C13" i="2"/>
  <c r="C23" i="2"/>
  <c r="C27" i="2"/>
  <c r="C34" i="2"/>
  <c r="C18" i="2"/>
  <c r="C24" i="2"/>
  <c r="C28" i="2"/>
  <c r="C35" i="2"/>
  <c r="C12" i="2"/>
  <c r="C19" i="2"/>
  <c r="C25" i="2"/>
  <c r="C30" i="2"/>
  <c r="G41" i="17" l="1"/>
  <c r="G55" i="17" s="1"/>
  <c r="G39" i="29"/>
  <c r="K41" i="17"/>
  <c r="K55" i="17" s="1"/>
  <c r="K39" i="29"/>
  <c r="H41" i="17"/>
  <c r="H55" i="17" s="1"/>
  <c r="H39" i="29"/>
  <c r="D41" i="17"/>
  <c r="D55" i="17" s="1"/>
  <c r="D39" i="29"/>
  <c r="J41" i="17"/>
  <c r="J55" i="17" s="1"/>
  <c r="J39" i="29"/>
  <c r="F41" i="17"/>
  <c r="F55" i="17" s="1"/>
  <c r="F39" i="29"/>
  <c r="I41" i="17"/>
  <c r="I55" i="17" s="1"/>
  <c r="I39" i="29"/>
  <c r="E41" i="17"/>
  <c r="E55" i="17" s="1"/>
  <c r="E39" i="29"/>
  <c r="B159" i="28"/>
  <c r="B17" i="5" s="1"/>
  <c r="B45" i="5" s="1"/>
  <c r="B160" i="28"/>
  <c r="B158" i="28"/>
  <c r="B16" i="5" s="1"/>
  <c r="B44" i="5" s="1"/>
  <c r="B157" i="28"/>
  <c r="B15" i="5" s="1"/>
  <c r="B153" i="28"/>
  <c r="B11" i="5" s="1"/>
  <c r="B156" i="28"/>
  <c r="B14" i="5" s="1"/>
  <c r="B155" i="28"/>
  <c r="B13" i="5" s="1"/>
  <c r="B154" i="28"/>
  <c r="B12" i="5" s="1"/>
  <c r="K56" i="1"/>
  <c r="I56" i="1"/>
  <c r="H56" i="1"/>
  <c r="F56" i="1"/>
  <c r="D56" i="1"/>
  <c r="J56" i="1"/>
  <c r="G56" i="1"/>
  <c r="E56" i="1"/>
  <c r="E35" i="10"/>
  <c r="K35" i="10"/>
  <c r="I35" i="10"/>
  <c r="H35" i="10"/>
  <c r="F35" i="10"/>
  <c r="D35" i="10"/>
  <c r="J35" i="10"/>
  <c r="G35" i="10"/>
  <c r="K14" i="19"/>
  <c r="B10" i="2"/>
  <c r="B88" i="2" s="1"/>
  <c r="J86" i="29" l="1"/>
  <c r="J88" i="29"/>
  <c r="G86" i="29"/>
  <c r="G88" i="29"/>
  <c r="E86" i="29"/>
  <c r="E88" i="29"/>
  <c r="D86" i="29"/>
  <c r="D88" i="29"/>
  <c r="I88" i="29"/>
  <c r="I86" i="29"/>
  <c r="H88" i="29"/>
  <c r="H86" i="29"/>
  <c r="F86" i="29"/>
  <c r="F88" i="29"/>
  <c r="K88" i="29"/>
  <c r="K86" i="29"/>
  <c r="M55" i="17"/>
  <c r="L55" i="17"/>
  <c r="B69" i="5"/>
  <c r="B97" i="5"/>
  <c r="B100" i="5"/>
  <c r="B73" i="5"/>
  <c r="I43" i="17"/>
  <c r="K43" i="17"/>
  <c r="E43" i="17"/>
  <c r="G43" i="17"/>
  <c r="F43" i="17"/>
  <c r="D43" i="17"/>
  <c r="J43" i="17"/>
  <c r="H43" i="17"/>
  <c r="E14" i="19"/>
  <c r="D14" i="19"/>
  <c r="G14" i="19"/>
  <c r="F14" i="19"/>
  <c r="H14" i="19"/>
  <c r="J14" i="19"/>
  <c r="I14" i="19"/>
  <c r="B41" i="5"/>
  <c r="B57" i="5"/>
  <c r="B65" i="5"/>
  <c r="B43" i="5"/>
  <c r="B42" i="5"/>
  <c r="B61" i="5"/>
  <c r="B53" i="5"/>
  <c r="B40" i="5"/>
  <c r="B49" i="5"/>
  <c r="B39" i="5"/>
  <c r="B82" i="5"/>
  <c r="B94" i="5"/>
  <c r="B91" i="5"/>
  <c r="B88" i="5"/>
  <c r="B85" i="5"/>
  <c r="I89" i="29" l="1"/>
  <c r="K89" i="29"/>
  <c r="F89" i="29"/>
  <c r="E89" i="29"/>
  <c r="H89" i="29"/>
  <c r="G89" i="29"/>
  <c r="J89" i="29"/>
  <c r="D89" i="29"/>
  <c r="B53" i="1"/>
  <c r="B55" i="1"/>
  <c r="B52" i="1"/>
  <c r="B54" i="1"/>
  <c r="B51" i="1"/>
  <c r="H48" i="15" l="1"/>
  <c r="H80" i="15" s="1"/>
  <c r="I48" i="15"/>
  <c r="I80" i="15" s="1"/>
  <c r="J48" i="15"/>
  <c r="J80" i="15" s="1"/>
  <c r="K48" i="15"/>
  <c r="K80" i="15" s="1"/>
  <c r="G45" i="4" l="1"/>
  <c r="G66" i="4" s="1"/>
  <c r="H45" i="4"/>
  <c r="I45" i="4"/>
  <c r="J45" i="4"/>
  <c r="K45" i="4"/>
  <c r="J66" i="4" l="1"/>
  <c r="J68" i="4" s="1"/>
  <c r="K66" i="4"/>
  <c r="K68" i="4" s="1"/>
  <c r="I66" i="4"/>
  <c r="I68" i="4" s="1"/>
  <c r="H66" i="4"/>
  <c r="H68" i="4" s="1"/>
  <c r="F43" i="5" l="1"/>
  <c r="D67" i="5"/>
  <c r="F55" i="1" l="1"/>
  <c r="D43" i="5"/>
  <c r="H18" i="4"/>
  <c r="K18" i="4"/>
  <c r="D45" i="4"/>
  <c r="D66" i="4" s="1"/>
  <c r="D68" i="4" s="1"/>
  <c r="E45" i="4"/>
  <c r="E66" i="4" s="1"/>
  <c r="E68" i="4" s="1"/>
  <c r="D59" i="5"/>
  <c r="I18" i="4"/>
  <c r="F45" i="4"/>
  <c r="E41" i="5"/>
  <c r="J18" i="4"/>
  <c r="B31" i="1"/>
  <c r="B37" i="1"/>
  <c r="B38" i="1"/>
  <c r="B39" i="1"/>
  <c r="B42" i="1"/>
  <c r="B30" i="1"/>
  <c r="B12" i="1"/>
  <c r="B18" i="1"/>
  <c r="B19" i="1"/>
  <c r="B20" i="1"/>
  <c r="B21" i="1"/>
  <c r="B22" i="1"/>
  <c r="B23" i="1"/>
  <c r="B11" i="1"/>
  <c r="D55" i="1" l="1"/>
  <c r="E53" i="1"/>
  <c r="D18" i="4"/>
  <c r="F66" i="4"/>
  <c r="F68" i="4" s="1"/>
  <c r="L57" i="5"/>
  <c r="F41" i="5"/>
  <c r="L15" i="5"/>
  <c r="M57" i="5"/>
  <c r="D41" i="5"/>
  <c r="M15" i="5"/>
  <c r="M13" i="5"/>
  <c r="L13" i="5"/>
  <c r="E42" i="5"/>
  <c r="D63" i="5"/>
  <c r="F42" i="5"/>
  <c r="F54" i="1" l="1"/>
  <c r="F53" i="1"/>
  <c r="E54" i="1"/>
  <c r="D53" i="1"/>
  <c r="D17" i="4"/>
  <c r="M41" i="5"/>
  <c r="L41" i="5"/>
  <c r="E43" i="5"/>
  <c r="M65" i="5"/>
  <c r="L65" i="5"/>
  <c r="M59" i="5"/>
  <c r="L59" i="5"/>
  <c r="M61" i="5"/>
  <c r="D42" i="5"/>
  <c r="L61" i="5"/>
  <c r="M14" i="5"/>
  <c r="L14" i="5"/>
  <c r="F39" i="5"/>
  <c r="E40" i="5"/>
  <c r="D51" i="5"/>
  <c r="D39" i="5" s="1"/>
  <c r="E39" i="5"/>
  <c r="E46" i="5" l="1"/>
  <c r="D15" i="4"/>
  <c r="N53" i="1"/>
  <c r="F51" i="1"/>
  <c r="E51" i="1"/>
  <c r="E55" i="1"/>
  <c r="M53" i="1"/>
  <c r="E52" i="1"/>
  <c r="D54" i="1"/>
  <c r="M43" i="5"/>
  <c r="L43" i="5"/>
  <c r="M42" i="5"/>
  <c r="L42" i="5"/>
  <c r="M63" i="5"/>
  <c r="L63" i="5"/>
  <c r="M49" i="5"/>
  <c r="L49" i="5"/>
  <c r="M67" i="5"/>
  <c r="L67" i="5"/>
  <c r="M11" i="5"/>
  <c r="L11" i="5"/>
  <c r="D36" i="19"/>
  <c r="D35" i="19"/>
  <c r="N55" i="1" l="1"/>
  <c r="N54" i="1"/>
  <c r="M55" i="1"/>
  <c r="M54" i="1"/>
  <c r="D51" i="1"/>
  <c r="M39" i="5"/>
  <c r="L39" i="5"/>
  <c r="D55" i="5"/>
  <c r="L51" i="5"/>
  <c r="M51" i="5"/>
  <c r="M12" i="5"/>
  <c r="M18" i="5" s="1"/>
  <c r="L12" i="5"/>
  <c r="L18" i="5" s="1"/>
  <c r="A3" i="3"/>
  <c r="C11" i="13"/>
  <c r="C12" i="13"/>
  <c r="C10" i="13"/>
  <c r="M51" i="1" l="1"/>
  <c r="I46" i="29"/>
  <c r="E46" i="29"/>
  <c r="G46" i="29"/>
  <c r="H46" i="29"/>
  <c r="D46" i="29"/>
  <c r="K46" i="29"/>
  <c r="J46" i="29"/>
  <c r="F46" i="29"/>
  <c r="I61" i="17"/>
  <c r="E61" i="17"/>
  <c r="H61" i="17"/>
  <c r="D61" i="17"/>
  <c r="K61" i="17"/>
  <c r="G61" i="17"/>
  <c r="J61" i="17"/>
  <c r="F61" i="17"/>
  <c r="H42" i="10"/>
  <c r="F42" i="10"/>
  <c r="I42" i="10"/>
  <c r="D42" i="10"/>
  <c r="K42" i="10"/>
  <c r="G42" i="10"/>
  <c r="J42" i="10"/>
  <c r="E42" i="10"/>
  <c r="K41" i="10"/>
  <c r="G41" i="10"/>
  <c r="D41" i="10"/>
  <c r="F41" i="10"/>
  <c r="E41" i="10"/>
  <c r="H41" i="10"/>
  <c r="J41" i="10"/>
  <c r="I41" i="10"/>
  <c r="K15" i="4"/>
  <c r="I15" i="4"/>
  <c r="J15" i="4"/>
  <c r="H15" i="4"/>
  <c r="N51" i="1"/>
  <c r="J65" i="27"/>
  <c r="F65" i="27"/>
  <c r="I65" i="27"/>
  <c r="E65" i="27"/>
  <c r="H65" i="27"/>
  <c r="D65" i="27"/>
  <c r="K65" i="27"/>
  <c r="G65" i="27"/>
  <c r="H58" i="27"/>
  <c r="D58" i="27"/>
  <c r="E58" i="27"/>
  <c r="K58" i="27"/>
  <c r="G58" i="27"/>
  <c r="I58" i="27"/>
  <c r="J58" i="27"/>
  <c r="F58" i="27"/>
  <c r="D40" i="5"/>
  <c r="D46" i="5" s="1"/>
  <c r="L53" i="5"/>
  <c r="M53" i="5"/>
  <c r="F40" i="5"/>
  <c r="F46" i="5" s="1"/>
  <c r="D6" i="2"/>
  <c r="D78" i="2" s="1"/>
  <c r="A3" i="17"/>
  <c r="D77" i="2" l="1"/>
  <c r="E43" i="10"/>
  <c r="D43" i="10"/>
  <c r="I43" i="10"/>
  <c r="G43" i="10"/>
  <c r="F43" i="10"/>
  <c r="J43" i="10"/>
  <c r="K43" i="10"/>
  <c r="H43" i="10"/>
  <c r="D52" i="1"/>
  <c r="F52" i="1"/>
  <c r="M40" i="5"/>
  <c r="M46" i="5" s="1"/>
  <c r="L40" i="5"/>
  <c r="L46" i="5" s="1"/>
  <c r="M55" i="5"/>
  <c r="L55" i="5"/>
  <c r="E6" i="2"/>
  <c r="D5" i="2"/>
  <c r="E77" i="2" l="1"/>
  <c r="E78" i="2"/>
  <c r="D79" i="2"/>
  <c r="D50" i="1" s="1"/>
  <c r="M52" i="1"/>
  <c r="N52" i="1"/>
  <c r="F6" i="2"/>
  <c r="E5" i="2"/>
  <c r="D23" i="29" l="1"/>
  <c r="E79" i="2"/>
  <c r="E50" i="1" s="1"/>
  <c r="F77" i="2"/>
  <c r="F78" i="2"/>
  <c r="G6" i="2"/>
  <c r="F5" i="2"/>
  <c r="A3" i="13"/>
  <c r="A2" i="13"/>
  <c r="A3" i="19"/>
  <c r="E23" i="29" l="1"/>
  <c r="F79" i="2"/>
  <c r="F50" i="1" s="1"/>
  <c r="G77" i="2"/>
  <c r="G78" i="2"/>
  <c r="H6" i="2"/>
  <c r="H78" i="2" s="1"/>
  <c r="G5" i="2"/>
  <c r="F23" i="29" l="1"/>
  <c r="G79" i="2"/>
  <c r="G50" i="1" s="1"/>
  <c r="H77" i="2"/>
  <c r="I6" i="2"/>
  <c r="H5" i="2"/>
  <c r="A3" i="15"/>
  <c r="A2" i="15"/>
  <c r="G23" i="29" l="1"/>
  <c r="I77" i="2"/>
  <c r="I78" i="2"/>
  <c r="H79" i="2"/>
  <c r="H50" i="1" s="1"/>
  <c r="J6" i="2"/>
  <c r="I5" i="2"/>
  <c r="A3" i="14"/>
  <c r="A2" i="14"/>
  <c r="A3" i="21"/>
  <c r="A2" i="21"/>
  <c r="A3" i="20"/>
  <c r="A2" i="20"/>
  <c r="A2" i="19"/>
  <c r="A3" i="11"/>
  <c r="A2" i="11"/>
  <c r="A3" i="10"/>
  <c r="A2" i="10"/>
  <c r="A2" i="17"/>
  <c r="A3" i="2"/>
  <c r="A2" i="2"/>
  <c r="A2" i="3"/>
  <c r="A3" i="5"/>
  <c r="A2" i="5"/>
  <c r="A3" i="4"/>
  <c r="A2" i="4"/>
  <c r="A3" i="1"/>
  <c r="A2" i="1"/>
  <c r="H23" i="29" l="1"/>
  <c r="I79" i="2"/>
  <c r="I50" i="1" s="1"/>
  <c r="M50" i="1" s="1"/>
  <c r="J77" i="2"/>
  <c r="J78" i="2"/>
  <c r="K6" i="2"/>
  <c r="K78" i="2" s="1"/>
  <c r="J5" i="2"/>
  <c r="I23" i="29" l="1"/>
  <c r="J79" i="2"/>
  <c r="J50" i="1" s="1"/>
  <c r="L54" i="2"/>
  <c r="K77" i="2"/>
  <c r="L41" i="2"/>
  <c r="L56" i="2"/>
  <c r="L77" i="2"/>
  <c r="L47" i="2"/>
  <c r="L46" i="2"/>
  <c r="L27" i="2"/>
  <c r="L24" i="2"/>
  <c r="L58" i="2"/>
  <c r="L79" i="2"/>
  <c r="L51" i="2"/>
  <c r="L59" i="2"/>
  <c r="L63" i="2"/>
  <c r="L52" i="2"/>
  <c r="L23" i="2"/>
  <c r="L26" i="2"/>
  <c r="L40" i="2"/>
  <c r="L62" i="2"/>
  <c r="L55" i="2"/>
  <c r="L53" i="2"/>
  <c r="L50" i="2"/>
  <c r="L25" i="2"/>
  <c r="L64" i="2"/>
  <c r="K14" i="4"/>
  <c r="K26" i="4" s="1"/>
  <c r="E26" i="4"/>
  <c r="D14" i="4"/>
  <c r="D26" i="4" s="1"/>
  <c r="H14" i="4"/>
  <c r="H26" i="4" s="1"/>
  <c r="G26" i="4"/>
  <c r="I14" i="4"/>
  <c r="I26" i="4" s="1"/>
  <c r="F26" i="4"/>
  <c r="J14" i="4"/>
  <c r="J26" i="4" s="1"/>
  <c r="E86" i="2"/>
  <c r="K5" i="2"/>
  <c r="E28" i="4" l="1"/>
  <c r="F28" i="4"/>
  <c r="G28" i="4"/>
  <c r="D28" i="4"/>
  <c r="M77" i="2"/>
  <c r="J23" i="29"/>
  <c r="K79" i="2"/>
  <c r="K50" i="1" s="1"/>
  <c r="L42" i="2"/>
  <c r="F86" i="2"/>
  <c r="F101" i="2" s="1"/>
  <c r="H86" i="2"/>
  <c r="H128" i="2" s="1"/>
  <c r="I86" i="2"/>
  <c r="I105" i="2" s="1"/>
  <c r="K86" i="2"/>
  <c r="K119" i="2" s="1"/>
  <c r="D86" i="2"/>
  <c r="G86" i="2"/>
  <c r="G119" i="2" s="1"/>
  <c r="J86" i="2"/>
  <c r="J105" i="2" s="1"/>
  <c r="E119" i="2"/>
  <c r="E118" i="2"/>
  <c r="E105" i="2"/>
  <c r="E101" i="2"/>
  <c r="E128" i="2"/>
  <c r="E129" i="2"/>
  <c r="E104" i="2"/>
  <c r="E130" i="2"/>
  <c r="E131" i="2"/>
  <c r="E132" i="2"/>
  <c r="E103" i="2"/>
  <c r="E133" i="2"/>
  <c r="E102" i="2"/>
  <c r="K23" i="29" l="1"/>
  <c r="M79" i="2"/>
  <c r="D128" i="2"/>
  <c r="D118" i="2"/>
  <c r="F132" i="2"/>
  <c r="F103" i="2"/>
  <c r="F119" i="2"/>
  <c r="F118" i="2"/>
  <c r="F104" i="2"/>
  <c r="I118" i="2"/>
  <c r="F131" i="2"/>
  <c r="I101" i="2"/>
  <c r="I131" i="2"/>
  <c r="I133" i="2"/>
  <c r="F129" i="2"/>
  <c r="F133" i="2"/>
  <c r="F128" i="2"/>
  <c r="F130" i="2"/>
  <c r="F105" i="2"/>
  <c r="I103" i="2"/>
  <c r="I130" i="2"/>
  <c r="M56" i="1"/>
  <c r="F102" i="2"/>
  <c r="I102" i="2"/>
  <c r="I119" i="2"/>
  <c r="H131" i="2"/>
  <c r="H101" i="2"/>
  <c r="H102" i="2"/>
  <c r="H118" i="2"/>
  <c r="I129" i="2"/>
  <c r="I128" i="2"/>
  <c r="K118" i="2"/>
  <c r="K120" i="2" s="1"/>
  <c r="K124" i="2" s="1"/>
  <c r="H133" i="2"/>
  <c r="H129" i="2"/>
  <c r="I132" i="2"/>
  <c r="I104" i="2"/>
  <c r="G118" i="2"/>
  <c r="G120" i="2" s="1"/>
  <c r="G125" i="2" s="1"/>
  <c r="K133" i="2"/>
  <c r="K131" i="2"/>
  <c r="K129" i="2"/>
  <c r="K101" i="2"/>
  <c r="K102" i="2"/>
  <c r="K103" i="2"/>
  <c r="K104" i="2"/>
  <c r="K105" i="2"/>
  <c r="H132" i="2"/>
  <c r="H103" i="2"/>
  <c r="H104" i="2"/>
  <c r="H105" i="2"/>
  <c r="J118" i="2"/>
  <c r="K132" i="2"/>
  <c r="K130" i="2"/>
  <c r="K128" i="2"/>
  <c r="H119" i="2"/>
  <c r="H130" i="2"/>
  <c r="D132" i="2"/>
  <c r="D131" i="2"/>
  <c r="D102" i="2"/>
  <c r="D129" i="2"/>
  <c r="D101" i="2"/>
  <c r="D104" i="2"/>
  <c r="D133" i="2"/>
  <c r="D103" i="2"/>
  <c r="D105" i="2"/>
  <c r="D119" i="2"/>
  <c r="D130" i="2"/>
  <c r="G101" i="2"/>
  <c r="J129" i="2"/>
  <c r="G103" i="2"/>
  <c r="J131" i="2"/>
  <c r="G131" i="2"/>
  <c r="J132" i="2"/>
  <c r="J130" i="2"/>
  <c r="J128" i="2"/>
  <c r="J119" i="2"/>
  <c r="J102" i="2"/>
  <c r="J101" i="2"/>
  <c r="J133" i="2"/>
  <c r="J103" i="2"/>
  <c r="J104" i="2"/>
  <c r="G132" i="2"/>
  <c r="G129" i="2"/>
  <c r="G133" i="2"/>
  <c r="G104" i="2"/>
  <c r="G105" i="2"/>
  <c r="G102" i="2"/>
  <c r="G130" i="2"/>
  <c r="G128" i="2"/>
  <c r="N56" i="1"/>
  <c r="N50" i="1"/>
  <c r="E134" i="2"/>
  <c r="E120" i="2"/>
  <c r="E14" i="20"/>
  <c r="F14" i="20"/>
  <c r="G14" i="20"/>
  <c r="H14" i="20"/>
  <c r="I14" i="20"/>
  <c r="J14" i="20"/>
  <c r="K14" i="20"/>
  <c r="D14" i="20"/>
  <c r="H82" i="15" l="1"/>
  <c r="K16" i="20"/>
  <c r="J16" i="20"/>
  <c r="F16" i="20"/>
  <c r="E16" i="20"/>
  <c r="G16" i="20"/>
  <c r="I16" i="20"/>
  <c r="D16" i="20"/>
  <c r="H16" i="20"/>
  <c r="L128" i="2"/>
  <c r="L118" i="2"/>
  <c r="F120" i="2"/>
  <c r="F124" i="2" s="1"/>
  <c r="I120" i="2"/>
  <c r="I124" i="2" s="1"/>
  <c r="F134" i="2"/>
  <c r="F137" i="2" s="1"/>
  <c r="L129" i="2"/>
  <c r="D120" i="2"/>
  <c r="D124" i="2" s="1"/>
  <c r="I134" i="2"/>
  <c r="I137" i="2" s="1"/>
  <c r="H120" i="2"/>
  <c r="H124" i="2" s="1"/>
  <c r="K134" i="2"/>
  <c r="K136" i="2" s="1"/>
  <c r="K140" i="2" s="1"/>
  <c r="H134" i="2"/>
  <c r="H136" i="2" s="1"/>
  <c r="J120" i="2"/>
  <c r="J125" i="2" s="1"/>
  <c r="L105" i="2"/>
  <c r="L101" i="2"/>
  <c r="L130" i="2"/>
  <c r="L103" i="2"/>
  <c r="L131" i="2"/>
  <c r="L104" i="2"/>
  <c r="L102" i="2"/>
  <c r="L132" i="2"/>
  <c r="M118" i="2"/>
  <c r="L119" i="2"/>
  <c r="M130" i="2"/>
  <c r="M105" i="2"/>
  <c r="M103" i="2"/>
  <c r="D134" i="2"/>
  <c r="D136" i="2" s="1"/>
  <c r="M102" i="2"/>
  <c r="L133" i="2"/>
  <c r="M131" i="2"/>
  <c r="J134" i="2"/>
  <c r="J137" i="2" s="1"/>
  <c r="M129" i="2"/>
  <c r="M132" i="2"/>
  <c r="M101" i="2"/>
  <c r="M133" i="2"/>
  <c r="M128" i="2"/>
  <c r="M104" i="2"/>
  <c r="K125" i="2"/>
  <c r="M119" i="2"/>
  <c r="G134" i="2"/>
  <c r="G136" i="2" s="1"/>
  <c r="G124" i="2"/>
  <c r="E125" i="2"/>
  <c r="E124" i="2"/>
  <c r="E136" i="2"/>
  <c r="E137" i="2"/>
  <c r="H8" i="20" l="1"/>
  <c r="H57" i="1" s="1"/>
  <c r="E8" i="20"/>
  <c r="E57" i="1" s="1"/>
  <c r="D8" i="20"/>
  <c r="D57" i="1" s="1"/>
  <c r="F8" i="20"/>
  <c r="F57" i="1" s="1"/>
  <c r="I8" i="20"/>
  <c r="I57" i="1" s="1"/>
  <c r="J8" i="20"/>
  <c r="J57" i="1" s="1"/>
  <c r="G8" i="20"/>
  <c r="G57" i="1" s="1"/>
  <c r="K8" i="20"/>
  <c r="K57" i="1" s="1"/>
  <c r="L120" i="2"/>
  <c r="I125" i="2"/>
  <c r="I141" i="2" s="1"/>
  <c r="F136" i="2"/>
  <c r="F140" i="2" s="1"/>
  <c r="F125" i="2"/>
  <c r="F141" i="2" s="1"/>
  <c r="D125" i="2"/>
  <c r="I136" i="2"/>
  <c r="I140" i="2" s="1"/>
  <c r="K137" i="2"/>
  <c r="K141" i="2" s="1"/>
  <c r="K142" i="2" s="1"/>
  <c r="H125" i="2"/>
  <c r="H140" i="2"/>
  <c r="H137" i="2"/>
  <c r="J124" i="2"/>
  <c r="L134" i="2"/>
  <c r="M120" i="2"/>
  <c r="D137" i="2"/>
  <c r="G137" i="2"/>
  <c r="G141" i="2" s="1"/>
  <c r="M134" i="2"/>
  <c r="J136" i="2"/>
  <c r="G140" i="2"/>
  <c r="J141" i="2"/>
  <c r="E141" i="2"/>
  <c r="D140" i="2"/>
  <c r="L124" i="2"/>
  <c r="E140" i="2"/>
  <c r="M57" i="1" l="1"/>
  <c r="N57" i="1"/>
  <c r="L43" i="17"/>
  <c r="M43" i="17"/>
  <c r="L136" i="2"/>
  <c r="M125" i="2"/>
  <c r="D141" i="2"/>
  <c r="D142" i="2" s="1"/>
  <c r="L125" i="2"/>
  <c r="M136" i="2"/>
  <c r="H141" i="2"/>
  <c r="H142" i="2" s="1"/>
  <c r="J140" i="2"/>
  <c r="J142" i="2" s="1"/>
  <c r="M124" i="2"/>
  <c r="G142" i="2"/>
  <c r="M137" i="2"/>
  <c r="L137" i="2"/>
  <c r="F142" i="2"/>
  <c r="I142" i="2"/>
  <c r="L140" i="2"/>
  <c r="E142" i="2"/>
  <c r="B13" i="1"/>
  <c r="B32" i="1"/>
  <c r="B16" i="1"/>
  <c r="B35" i="1"/>
  <c r="B14" i="1"/>
  <c r="B33" i="1"/>
  <c r="B15" i="1"/>
  <c r="B34" i="1"/>
  <c r="B17" i="1"/>
  <c r="B36" i="1"/>
  <c r="F34" i="29" l="1"/>
  <c r="F37" i="29" s="1"/>
  <c r="F49" i="29" s="1"/>
  <c r="E34" i="29"/>
  <c r="E37" i="29" s="1"/>
  <c r="M141" i="2"/>
  <c r="L141" i="2"/>
  <c r="M140" i="2"/>
  <c r="M142" i="2"/>
  <c r="L142" i="2"/>
  <c r="F41" i="29" l="1"/>
  <c r="F79" i="29" s="1"/>
  <c r="E49" i="29"/>
  <c r="E41" i="29"/>
  <c r="E79" i="29" s="1"/>
  <c r="G34" i="29" l="1"/>
  <c r="G37" i="29" s="1"/>
  <c r="G49" i="29" s="1"/>
  <c r="H34" i="29"/>
  <c r="H37" i="29" s="1"/>
  <c r="I34" i="29"/>
  <c r="I37" i="29" s="1"/>
  <c r="I49" i="29" s="1"/>
  <c r="J34" i="29"/>
  <c r="J37" i="29" s="1"/>
  <c r="J41" i="29" s="1"/>
  <c r="J79" i="29" s="1"/>
  <c r="K34" i="29"/>
  <c r="K37" i="29" s="1"/>
  <c r="K49" i="29" s="1"/>
  <c r="G41" i="29" l="1"/>
  <c r="G79" i="29" s="1"/>
  <c r="K41" i="29"/>
  <c r="K79" i="29" s="1"/>
  <c r="I41" i="29"/>
  <c r="I79" i="29" s="1"/>
  <c r="J49" i="29"/>
  <c r="H49" i="29"/>
  <c r="H41" i="29"/>
  <c r="H79" i="29" s="1"/>
  <c r="D34" i="29" l="1"/>
  <c r="D37" i="29" s="1"/>
  <c r="D49" i="29" s="1"/>
  <c r="D41" i="29" l="1"/>
  <c r="D79" i="29" s="1"/>
  <c r="H21" i="10" l="1"/>
  <c r="J21" i="10" l="1"/>
  <c r="I21" i="10"/>
  <c r="E21" i="10"/>
  <c r="F24" i="10" l="1"/>
  <c r="D31" i="10"/>
  <c r="D21" i="10"/>
  <c r="D29" i="10" s="1"/>
  <c r="K21" i="10"/>
  <c r="G21" i="10"/>
  <c r="E24" i="10" l="1"/>
  <c r="E31" i="10"/>
  <c r="E16" i="10"/>
  <c r="E18" i="10" s="1"/>
  <c r="D38" i="10"/>
  <c r="D47" i="10"/>
  <c r="E29" i="10" l="1"/>
  <c r="D63" i="27"/>
  <c r="D45" i="10"/>
  <c r="D46" i="10"/>
  <c r="D56" i="27"/>
  <c r="E38" i="10" l="1"/>
  <c r="E56" i="27" s="1"/>
  <c r="E55" i="27" s="1"/>
  <c r="F16" i="10"/>
  <c r="F18" i="10" s="1"/>
  <c r="E47" i="10"/>
  <c r="E45" i="10" s="1"/>
  <c r="D57" i="27"/>
  <c r="D62" i="27" s="1"/>
  <c r="D66" i="1" s="1"/>
  <c r="D55" i="27"/>
  <c r="D50" i="10"/>
  <c r="D65" i="1"/>
  <c r="D54" i="10"/>
  <c r="D49" i="10"/>
  <c r="D53" i="10"/>
  <c r="E57" i="27" l="1"/>
  <c r="E59" i="27" s="1"/>
  <c r="E46" i="10"/>
  <c r="E54" i="10" s="1"/>
  <c r="E63" i="27"/>
  <c r="D55" i="10"/>
  <c r="D15" i="1"/>
  <c r="D18" i="1"/>
  <c r="D16" i="1"/>
  <c r="D12" i="1"/>
  <c r="D17" i="1"/>
  <c r="D14" i="1"/>
  <c r="D19" i="1"/>
  <c r="D13" i="1"/>
  <c r="D79" i="17"/>
  <c r="D51" i="10"/>
  <c r="D57" i="10"/>
  <c r="D48" i="1"/>
  <c r="D58" i="10"/>
  <c r="E49" i="10"/>
  <c r="E53" i="10"/>
  <c r="D31" i="1"/>
  <c r="D37" i="1"/>
  <c r="D36" i="1"/>
  <c r="D38" i="1"/>
  <c r="D32" i="1"/>
  <c r="D33" i="1"/>
  <c r="D34" i="1"/>
  <c r="D35" i="1"/>
  <c r="D61" i="27"/>
  <c r="D64" i="27" s="1"/>
  <c r="D59" i="27"/>
  <c r="D47" i="29"/>
  <c r="E65" i="1" l="1"/>
  <c r="E19" i="1" s="1"/>
  <c r="E47" i="29"/>
  <c r="E62" i="27"/>
  <c r="E66" i="1" s="1"/>
  <c r="E37" i="1" s="1"/>
  <c r="E50" i="10"/>
  <c r="E48" i="1" s="1"/>
  <c r="E61" i="27"/>
  <c r="E64" i="27" s="1"/>
  <c r="E62" i="17" s="1"/>
  <c r="D59" i="10"/>
  <c r="E55" i="10"/>
  <c r="D62" i="17"/>
  <c r="D66" i="27"/>
  <c r="D10" i="1"/>
  <c r="D29" i="1"/>
  <c r="E79" i="17"/>
  <c r="E85" i="17" s="1"/>
  <c r="E57" i="10"/>
  <c r="E12" i="1"/>
  <c r="D85" i="17"/>
  <c r="E18" i="1" l="1"/>
  <c r="E15" i="1"/>
  <c r="E13" i="1"/>
  <c r="E31" i="1"/>
  <c r="E17" i="1"/>
  <c r="E16" i="1"/>
  <c r="E14" i="1"/>
  <c r="E36" i="1"/>
  <c r="E34" i="1"/>
  <c r="E35" i="1"/>
  <c r="E38" i="1"/>
  <c r="E33" i="1"/>
  <c r="E32" i="1"/>
  <c r="E51" i="10"/>
  <c r="E58" i="10"/>
  <c r="E59" i="10" s="1"/>
  <c r="E66" i="27"/>
  <c r="D69" i="17"/>
  <c r="D65" i="17"/>
  <c r="E69" i="17"/>
  <c r="E65" i="17"/>
  <c r="E29" i="1"/>
  <c r="E10" i="1"/>
  <c r="E66" i="17" l="1"/>
  <c r="E68" i="17" s="1"/>
  <c r="E87" i="17" s="1"/>
  <c r="E50" i="29"/>
  <c r="E51" i="29" s="1"/>
  <c r="E53" i="29" s="1"/>
  <c r="E81" i="29" s="1"/>
  <c r="D66" i="17"/>
  <c r="D68" i="17" s="1"/>
  <c r="D50" i="29"/>
  <c r="D51" i="29" s="1"/>
  <c r="D53" i="29" s="1"/>
  <c r="D81" i="29" s="1"/>
  <c r="E61" i="1" l="1"/>
  <c r="E22" i="1" s="1"/>
  <c r="E83" i="29"/>
  <c r="E62" i="1" s="1"/>
  <c r="D61" i="1"/>
  <c r="D83" i="29"/>
  <c r="E89" i="17"/>
  <c r="D87" i="17"/>
  <c r="D62" i="1" l="1"/>
  <c r="D41" i="1" s="1"/>
  <c r="E41" i="1"/>
  <c r="D89" i="17"/>
  <c r="D22" i="1"/>
  <c r="F31" i="10" l="1"/>
  <c r="F21" i="10"/>
  <c r="F29" i="10" s="1"/>
  <c r="H24" i="10" l="1"/>
  <c r="H31" i="10"/>
  <c r="I24" i="10"/>
  <c r="I31" i="10"/>
  <c r="K24" i="10"/>
  <c r="K31" i="10"/>
  <c r="J24" i="10"/>
  <c r="J31" i="10"/>
  <c r="G16" i="10"/>
  <c r="G18" i="10" s="1"/>
  <c r="F38" i="10"/>
  <c r="F47" i="10"/>
  <c r="G24" i="10"/>
  <c r="G31" i="10"/>
  <c r="G29" i="10" l="1"/>
  <c r="F56" i="27"/>
  <c r="F63" i="27"/>
  <c r="F45" i="10"/>
  <c r="F46" i="10"/>
  <c r="H16" i="10" l="1"/>
  <c r="H18" i="10" s="1"/>
  <c r="H29" i="10" s="1"/>
  <c r="G38" i="10"/>
  <c r="G56" i="27" s="1"/>
  <c r="G47" i="10"/>
  <c r="G63" i="27" s="1"/>
  <c r="F49" i="10"/>
  <c r="F53" i="10"/>
  <c r="F50" i="10"/>
  <c r="F65" i="1"/>
  <c r="F54" i="10"/>
  <c r="F55" i="27"/>
  <c r="F57" i="27"/>
  <c r="F62" i="27" s="1"/>
  <c r="F66" i="1" s="1"/>
  <c r="G46" i="10" l="1"/>
  <c r="G54" i="10" s="1"/>
  <c r="G45" i="10"/>
  <c r="G49" i="10" s="1"/>
  <c r="H47" i="10"/>
  <c r="H45" i="10" s="1"/>
  <c r="H38" i="10"/>
  <c r="H56" i="27" s="1"/>
  <c r="I16" i="10"/>
  <c r="I18" i="10" s="1"/>
  <c r="I29" i="10" s="1"/>
  <c r="G57" i="27"/>
  <c r="G62" i="27" s="1"/>
  <c r="G66" i="1" s="1"/>
  <c r="G55" i="27"/>
  <c r="F59" i="27"/>
  <c r="F47" i="29"/>
  <c r="G53" i="10"/>
  <c r="F61" i="27"/>
  <c r="F64" i="27" s="1"/>
  <c r="F79" i="17"/>
  <c r="F51" i="10"/>
  <c r="F57" i="10"/>
  <c r="F34" i="1"/>
  <c r="F35" i="1"/>
  <c r="F36" i="1"/>
  <c r="F33" i="1"/>
  <c r="F38" i="1"/>
  <c r="F32" i="1"/>
  <c r="F31" i="1"/>
  <c r="F37" i="1"/>
  <c r="F12" i="1"/>
  <c r="F18" i="1"/>
  <c r="F16" i="1"/>
  <c r="F19" i="1"/>
  <c r="F13" i="1"/>
  <c r="F15" i="1"/>
  <c r="F17" i="1"/>
  <c r="F14" i="1"/>
  <c r="F48" i="1"/>
  <c r="F58" i="10"/>
  <c r="F55" i="10"/>
  <c r="G65" i="1" l="1"/>
  <c r="M16" i="1" s="1"/>
  <c r="G55" i="10"/>
  <c r="H46" i="10"/>
  <c r="H50" i="10" s="1"/>
  <c r="G50" i="10"/>
  <c r="G58" i="10" s="1"/>
  <c r="I38" i="10"/>
  <c r="I56" i="27" s="1"/>
  <c r="I57" i="27" s="1"/>
  <c r="J16" i="10"/>
  <c r="J18" i="10" s="1"/>
  <c r="J29" i="10" s="1"/>
  <c r="J47" i="10" s="1"/>
  <c r="I47" i="10"/>
  <c r="I46" i="10" s="1"/>
  <c r="H63" i="27"/>
  <c r="G61" i="27"/>
  <c r="G64" i="27" s="1"/>
  <c r="G66" i="27" s="1"/>
  <c r="M14" i="1"/>
  <c r="M15" i="1"/>
  <c r="M18" i="1"/>
  <c r="M34" i="1"/>
  <c r="M32" i="1"/>
  <c r="M38" i="1"/>
  <c r="M36" i="1"/>
  <c r="M31" i="1"/>
  <c r="M33" i="1"/>
  <c r="M35" i="1"/>
  <c r="M37" i="1"/>
  <c r="M13" i="1"/>
  <c r="H49" i="10"/>
  <c r="H53" i="10"/>
  <c r="F29" i="1"/>
  <c r="F10" i="1"/>
  <c r="H55" i="27"/>
  <c r="H57" i="27"/>
  <c r="F85" i="17"/>
  <c r="G13" i="1"/>
  <c r="G19" i="1"/>
  <c r="G16" i="1"/>
  <c r="G15" i="1"/>
  <c r="F59" i="10"/>
  <c r="G79" i="17"/>
  <c r="G85" i="17" s="1"/>
  <c r="G57" i="10"/>
  <c r="F62" i="17"/>
  <c r="F66" i="27"/>
  <c r="G31" i="1"/>
  <c r="G37" i="1"/>
  <c r="G34" i="1"/>
  <c r="G38" i="1"/>
  <c r="G36" i="1"/>
  <c r="G33" i="1"/>
  <c r="G35" i="1"/>
  <c r="G32" i="1"/>
  <c r="G59" i="27"/>
  <c r="G47" i="29"/>
  <c r="G17" i="1" l="1"/>
  <c r="G12" i="1"/>
  <c r="M19" i="1"/>
  <c r="G18" i="1"/>
  <c r="G14" i="1"/>
  <c r="M12" i="1"/>
  <c r="M17" i="1"/>
  <c r="H65" i="1"/>
  <c r="H13" i="1" s="1"/>
  <c r="K16" i="10"/>
  <c r="K18" i="10" s="1"/>
  <c r="K29" i="10" s="1"/>
  <c r="K38" i="10" s="1"/>
  <c r="K56" i="27" s="1"/>
  <c r="J38" i="10"/>
  <c r="J56" i="27" s="1"/>
  <c r="J57" i="27" s="1"/>
  <c r="G51" i="10"/>
  <c r="G48" i="1"/>
  <c r="M29" i="1" s="1"/>
  <c r="H54" i="10"/>
  <c r="H55" i="10" s="1"/>
  <c r="I63" i="27"/>
  <c r="I62" i="27" s="1"/>
  <c r="I66" i="1" s="1"/>
  <c r="I45" i="10"/>
  <c r="I49" i="10" s="1"/>
  <c r="I55" i="27"/>
  <c r="G62" i="17"/>
  <c r="G65" i="17" s="1"/>
  <c r="H61" i="27"/>
  <c r="H64" i="27" s="1"/>
  <c r="H66" i="27" s="1"/>
  <c r="M48" i="1"/>
  <c r="H62" i="27"/>
  <c r="H66" i="1" s="1"/>
  <c r="H38" i="1" s="1"/>
  <c r="I61" i="27"/>
  <c r="I64" i="27" s="1"/>
  <c r="G59" i="10"/>
  <c r="F69" i="17"/>
  <c r="F65" i="17"/>
  <c r="L79" i="17"/>
  <c r="H79" i="17"/>
  <c r="H85" i="17" s="1"/>
  <c r="H51" i="10"/>
  <c r="H57" i="10"/>
  <c r="L85" i="17"/>
  <c r="J63" i="27"/>
  <c r="J46" i="10"/>
  <c r="J45" i="10"/>
  <c r="H59" i="27"/>
  <c r="H47" i="29"/>
  <c r="H48" i="1"/>
  <c r="H58" i="10"/>
  <c r="G29" i="1"/>
  <c r="I59" i="27"/>
  <c r="I47" i="29"/>
  <c r="H15" i="1"/>
  <c r="H17" i="1"/>
  <c r="H18" i="1"/>
  <c r="H19" i="1"/>
  <c r="I50" i="10"/>
  <c r="I65" i="1"/>
  <c r="I54" i="10"/>
  <c r="K47" i="10" l="1"/>
  <c r="K63" i="27" s="1"/>
  <c r="H16" i="1"/>
  <c r="H12" i="1"/>
  <c r="M10" i="1"/>
  <c r="H14" i="1"/>
  <c r="G10" i="1"/>
  <c r="J55" i="27"/>
  <c r="G69" i="17"/>
  <c r="L69" i="17" s="1"/>
  <c r="I53" i="10"/>
  <c r="I55" i="10" s="1"/>
  <c r="H62" i="17"/>
  <c r="H69" i="17" s="1"/>
  <c r="H37" i="1"/>
  <c r="H35" i="1"/>
  <c r="H36" i="1"/>
  <c r="H34" i="1"/>
  <c r="H33" i="1"/>
  <c r="H32" i="1"/>
  <c r="H31" i="1"/>
  <c r="K55" i="27"/>
  <c r="K57" i="27"/>
  <c r="I17" i="1"/>
  <c r="I15" i="1"/>
  <c r="I13" i="1"/>
  <c r="I12" i="1"/>
  <c r="I14" i="1"/>
  <c r="I19" i="1"/>
  <c r="I16" i="1"/>
  <c r="I18" i="1"/>
  <c r="I48" i="1"/>
  <c r="I58" i="10"/>
  <c r="J49" i="10"/>
  <c r="J53" i="10"/>
  <c r="I62" i="17"/>
  <c r="I66" i="27"/>
  <c r="J61" i="27"/>
  <c r="J64" i="27" s="1"/>
  <c r="J62" i="27"/>
  <c r="J66" i="1" s="1"/>
  <c r="G66" i="17"/>
  <c r="G68" i="17" s="1"/>
  <c r="G50" i="29"/>
  <c r="G51" i="29" s="1"/>
  <c r="G53" i="29" s="1"/>
  <c r="G81" i="29" s="1"/>
  <c r="H59" i="10"/>
  <c r="K46" i="10"/>
  <c r="K45" i="10"/>
  <c r="F66" i="17"/>
  <c r="F68" i="17" s="1"/>
  <c r="F50" i="29"/>
  <c r="F51" i="29" s="1"/>
  <c r="F53" i="29" s="1"/>
  <c r="F81" i="29" s="1"/>
  <c r="J50" i="10"/>
  <c r="J65" i="1"/>
  <c r="J54" i="10"/>
  <c r="H10" i="1"/>
  <c r="H29" i="1"/>
  <c r="I79" i="17"/>
  <c r="I51" i="10"/>
  <c r="I57" i="10"/>
  <c r="I38" i="1"/>
  <c r="I32" i="1"/>
  <c r="I36" i="1"/>
  <c r="I37" i="1"/>
  <c r="I35" i="1"/>
  <c r="I31" i="1"/>
  <c r="I33" i="1"/>
  <c r="I34" i="1"/>
  <c r="J59" i="27"/>
  <c r="J47" i="29"/>
  <c r="G87" i="17" l="1"/>
  <c r="G89" i="17" s="1"/>
  <c r="H65" i="17"/>
  <c r="H66" i="17" s="1"/>
  <c r="H68" i="17" s="1"/>
  <c r="H87" i="17" s="1"/>
  <c r="F87" i="17"/>
  <c r="L68" i="17"/>
  <c r="I59" i="10"/>
  <c r="J55" i="10"/>
  <c r="F83" i="29"/>
  <c r="F61" i="1"/>
  <c r="J19" i="1"/>
  <c r="J17" i="1"/>
  <c r="J15" i="1"/>
  <c r="J12" i="1"/>
  <c r="J18" i="1"/>
  <c r="J16" i="1"/>
  <c r="J13" i="1"/>
  <c r="J14" i="1"/>
  <c r="K50" i="10"/>
  <c r="K65" i="1"/>
  <c r="N15" i="1" s="1"/>
  <c r="K54" i="10"/>
  <c r="J38" i="1"/>
  <c r="J35" i="1"/>
  <c r="J34" i="1"/>
  <c r="J31" i="1"/>
  <c r="J37" i="1"/>
  <c r="J32" i="1"/>
  <c r="J36" i="1"/>
  <c r="J33" i="1"/>
  <c r="J48" i="1"/>
  <c r="J58" i="10"/>
  <c r="K61" i="27"/>
  <c r="K64" i="27" s="1"/>
  <c r="K62" i="27"/>
  <c r="K66" i="1" s="1"/>
  <c r="N35" i="1" s="1"/>
  <c r="J66" i="27"/>
  <c r="J62" i="17"/>
  <c r="I69" i="17"/>
  <c r="I65" i="17"/>
  <c r="J79" i="17"/>
  <c r="J85" i="17" s="1"/>
  <c r="J51" i="10"/>
  <c r="J57" i="10"/>
  <c r="K59" i="27"/>
  <c r="K47" i="29"/>
  <c r="I29" i="1"/>
  <c r="I10" i="1"/>
  <c r="I85" i="17"/>
  <c r="K49" i="10"/>
  <c r="K53" i="10"/>
  <c r="G61" i="1"/>
  <c r="G22" i="1" s="1"/>
  <c r="G83" i="29"/>
  <c r="G62" i="1" s="1"/>
  <c r="F62" i="1" l="1"/>
  <c r="M62" i="1" s="1"/>
  <c r="H50" i="29"/>
  <c r="H51" i="29" s="1"/>
  <c r="H53" i="29" s="1"/>
  <c r="H81" i="29" s="1"/>
  <c r="H83" i="29" s="1"/>
  <c r="H62" i="1" s="1"/>
  <c r="F89" i="17"/>
  <c r="L87" i="17"/>
  <c r="F22" i="1"/>
  <c r="M61" i="1"/>
  <c r="M22" i="1"/>
  <c r="N19" i="1"/>
  <c r="G41" i="1"/>
  <c r="N32" i="1"/>
  <c r="N31" i="1"/>
  <c r="K55" i="10"/>
  <c r="J59" i="10"/>
  <c r="J29" i="1"/>
  <c r="J10" i="1"/>
  <c r="N33" i="1"/>
  <c r="K38" i="1"/>
  <c r="K32" i="1"/>
  <c r="K33" i="1"/>
  <c r="K37" i="1"/>
  <c r="K34" i="1"/>
  <c r="K31" i="1"/>
  <c r="K36" i="1"/>
  <c r="K35" i="1"/>
  <c r="N38" i="1"/>
  <c r="N36" i="1"/>
  <c r="K14" i="1"/>
  <c r="K19" i="1"/>
  <c r="K13" i="1"/>
  <c r="K16" i="1"/>
  <c r="K18" i="1"/>
  <c r="K17" i="1"/>
  <c r="K15" i="1"/>
  <c r="K12" i="1"/>
  <c r="N13" i="1"/>
  <c r="N12" i="1"/>
  <c r="N18" i="1"/>
  <c r="N14" i="1"/>
  <c r="N16" i="1"/>
  <c r="K79" i="17"/>
  <c r="K51" i="10"/>
  <c r="K57" i="10"/>
  <c r="I50" i="29"/>
  <c r="I51" i="29" s="1"/>
  <c r="I53" i="29" s="1"/>
  <c r="I81" i="29" s="1"/>
  <c r="I66" i="17"/>
  <c r="I68" i="17" s="1"/>
  <c r="J69" i="17"/>
  <c r="J65" i="17"/>
  <c r="K66" i="27"/>
  <c r="K62" i="17"/>
  <c r="H89" i="17"/>
  <c r="N34" i="1"/>
  <c r="N37" i="1"/>
  <c r="K48" i="1"/>
  <c r="K58" i="10"/>
  <c r="N17" i="1"/>
  <c r="M41" i="1" l="1"/>
  <c r="F41" i="1"/>
  <c r="H61" i="1"/>
  <c r="H22" i="1" s="1"/>
  <c r="L89" i="17"/>
  <c r="I87" i="17"/>
  <c r="I89" i="17" s="1"/>
  <c r="J66" i="17"/>
  <c r="J68" i="17" s="1"/>
  <c r="J87" i="17" s="1"/>
  <c r="J50" i="29"/>
  <c r="J51" i="29" s="1"/>
  <c r="J53" i="29" s="1"/>
  <c r="J81" i="29" s="1"/>
  <c r="I61" i="1"/>
  <c r="I22" i="1" s="1"/>
  <c r="I83" i="29"/>
  <c r="I62" i="1" s="1"/>
  <c r="K85" i="17"/>
  <c r="M79" i="17"/>
  <c r="K29" i="1"/>
  <c r="K10" i="1"/>
  <c r="N10" i="1"/>
  <c r="N29" i="1"/>
  <c r="N48" i="1"/>
  <c r="K69" i="17"/>
  <c r="M69" i="17" s="1"/>
  <c r="K65" i="17"/>
  <c r="K59" i="10"/>
  <c r="H41" i="1" l="1"/>
  <c r="I41" i="1"/>
  <c r="M85" i="17"/>
  <c r="J89" i="17"/>
  <c r="K66" i="17"/>
  <c r="K68" i="17" s="1"/>
  <c r="K50" i="29"/>
  <c r="K51" i="29" s="1"/>
  <c r="K53" i="29" s="1"/>
  <c r="K81" i="29" s="1"/>
  <c r="J61" i="1"/>
  <c r="J83" i="29"/>
  <c r="J62" i="1" l="1"/>
  <c r="J41" i="1" s="1"/>
  <c r="K87" i="17"/>
  <c r="K89" i="17" s="1"/>
  <c r="M68" i="17"/>
  <c r="J22" i="1"/>
  <c r="K61" i="1"/>
  <c r="K83" i="29"/>
  <c r="K62" i="1" s="1"/>
  <c r="N62" i="1" l="1"/>
  <c r="N61" i="1"/>
  <c r="M89" i="17"/>
  <c r="K22" i="1"/>
  <c r="N22" i="1"/>
  <c r="N41" i="1"/>
  <c r="M87" i="17"/>
  <c r="K41" i="1"/>
  <c r="G68" i="4" l="1"/>
  <c r="E46" i="15" l="1"/>
  <c r="E48" i="15" s="1"/>
  <c r="D78" i="15"/>
  <c r="E78" i="15"/>
  <c r="F78" i="15"/>
  <c r="E80" i="15" l="1"/>
  <c r="E50" i="15" l="1"/>
  <c r="F46" i="15" l="1"/>
  <c r="F48" i="15" s="1"/>
  <c r="F80" i="15" l="1"/>
  <c r="F50" i="15"/>
  <c r="K90" i="2" l="1"/>
  <c r="K81" i="15" s="1"/>
  <c r="J90" i="2"/>
  <c r="J81" i="15" s="1"/>
  <c r="I90" i="2"/>
  <c r="H90" i="2"/>
  <c r="H81" i="15" s="1"/>
  <c r="F90" i="2"/>
  <c r="E90" i="2"/>
  <c r="H14" i="2" l="1"/>
  <c r="H91" i="2"/>
  <c r="H92" i="2" s="1"/>
  <c r="D14" i="2"/>
  <c r="F14" i="2"/>
  <c r="F91" i="2"/>
  <c r="F92" i="2" s="1"/>
  <c r="J14" i="2"/>
  <c r="J91" i="2"/>
  <c r="J92" i="2" s="1"/>
  <c r="M13" i="2"/>
  <c r="L13" i="2"/>
  <c r="D91" i="2"/>
  <c r="I82" i="15"/>
  <c r="I81" i="15"/>
  <c r="E14" i="2"/>
  <c r="E91" i="2"/>
  <c r="E92" i="2" s="1"/>
  <c r="I14" i="2"/>
  <c r="I91" i="2"/>
  <c r="I92" i="2" s="1"/>
  <c r="E82" i="15"/>
  <c r="E81" i="15"/>
  <c r="F82" i="15"/>
  <c r="F81" i="15"/>
  <c r="G91" i="2"/>
  <c r="K14" i="2"/>
  <c r="K91" i="2"/>
  <c r="K92" i="2" s="1"/>
  <c r="I19" i="2" l="1"/>
  <c r="I18" i="2"/>
  <c r="D19" i="2"/>
  <c r="D18" i="2"/>
  <c r="F18" i="2"/>
  <c r="F19" i="2"/>
  <c r="H18" i="2"/>
  <c r="H19" i="2"/>
  <c r="E96" i="2"/>
  <c r="E97" i="2"/>
  <c r="M91" i="2"/>
  <c r="L91" i="2"/>
  <c r="J97" i="2"/>
  <c r="J96" i="2"/>
  <c r="D90" i="2"/>
  <c r="E19" i="2"/>
  <c r="E18" i="2"/>
  <c r="J18" i="2"/>
  <c r="J19" i="2"/>
  <c r="K97" i="2"/>
  <c r="K96" i="2"/>
  <c r="I97" i="2"/>
  <c r="I96" i="2"/>
  <c r="F97" i="2"/>
  <c r="F96" i="2"/>
  <c r="H96" i="2"/>
  <c r="H97" i="2"/>
  <c r="K18" i="2"/>
  <c r="K19" i="2"/>
  <c r="D81" i="15" l="1"/>
  <c r="D92" i="2"/>
  <c r="D96" i="2" l="1"/>
  <c r="D97" i="2"/>
  <c r="D28" i="2" l="1"/>
  <c r="D100" i="2"/>
  <c r="H28" i="2"/>
  <c r="H100" i="2"/>
  <c r="H106" i="2" s="1"/>
  <c r="I28" i="2" l="1"/>
  <c r="I100" i="2"/>
  <c r="I106" i="2" s="1"/>
  <c r="H109" i="2"/>
  <c r="H113" i="2" s="1"/>
  <c r="H148" i="2" s="1"/>
  <c r="H108" i="2"/>
  <c r="H112" i="2" s="1"/>
  <c r="K28" i="2"/>
  <c r="K100" i="2"/>
  <c r="K106" i="2" s="1"/>
  <c r="D106" i="2"/>
  <c r="F28" i="2"/>
  <c r="F100" i="2"/>
  <c r="F106" i="2" s="1"/>
  <c r="J28" i="2"/>
  <c r="J100" i="2"/>
  <c r="J106" i="2" s="1"/>
  <c r="D31" i="2"/>
  <c r="D30" i="2"/>
  <c r="E28" i="2"/>
  <c r="E100" i="2"/>
  <c r="E106" i="2" s="1"/>
  <c r="H31" i="2"/>
  <c r="H35" i="2" s="1"/>
  <c r="H30" i="2"/>
  <c r="H34" i="2" s="1"/>
  <c r="H70" i="2" l="1"/>
  <c r="H49" i="1"/>
  <c r="J30" i="2"/>
  <c r="J34" i="2" s="1"/>
  <c r="J31" i="2"/>
  <c r="J35" i="2" s="1"/>
  <c r="D108" i="2"/>
  <c r="D109" i="2"/>
  <c r="E108" i="2"/>
  <c r="E112" i="2" s="1"/>
  <c r="E147" i="2" s="1"/>
  <c r="E109" i="2"/>
  <c r="E113" i="2" s="1"/>
  <c r="F108" i="2"/>
  <c r="F112" i="2" s="1"/>
  <c r="F109" i="2"/>
  <c r="F113" i="2" s="1"/>
  <c r="F148" i="2" s="1"/>
  <c r="E30" i="2"/>
  <c r="E34" i="2" s="1"/>
  <c r="E31" i="2"/>
  <c r="E35" i="2" s="1"/>
  <c r="D35" i="2"/>
  <c r="F31" i="2"/>
  <c r="F35" i="2" s="1"/>
  <c r="F30" i="2"/>
  <c r="F34" i="2" s="1"/>
  <c r="K108" i="2"/>
  <c r="K112" i="2" s="1"/>
  <c r="K109" i="2"/>
  <c r="K113" i="2" s="1"/>
  <c r="K148" i="2" s="1"/>
  <c r="I108" i="2"/>
  <c r="I112" i="2" s="1"/>
  <c r="I109" i="2"/>
  <c r="I113" i="2" s="1"/>
  <c r="I148" i="2" s="1"/>
  <c r="D34" i="2"/>
  <c r="H147" i="2"/>
  <c r="H149" i="2" s="1"/>
  <c r="H114" i="2"/>
  <c r="H69" i="2"/>
  <c r="H36" i="2"/>
  <c r="J108" i="2"/>
  <c r="J112" i="2" s="1"/>
  <c r="J109" i="2"/>
  <c r="J113" i="2" s="1"/>
  <c r="J148" i="2" s="1"/>
  <c r="K30" i="2"/>
  <c r="K34" i="2" s="1"/>
  <c r="K31" i="2"/>
  <c r="K35" i="2" s="1"/>
  <c r="I30" i="2"/>
  <c r="I34" i="2" s="1"/>
  <c r="I31" i="2"/>
  <c r="I35" i="2" s="1"/>
  <c r="H71" i="2" l="1"/>
  <c r="I147" i="2"/>
  <c r="I149" i="2" s="1"/>
  <c r="I114" i="2"/>
  <c r="F70" i="2"/>
  <c r="F49" i="1"/>
  <c r="D113" i="2"/>
  <c r="I69" i="2"/>
  <c r="I36" i="2"/>
  <c r="D49" i="1"/>
  <c r="D70" i="2"/>
  <c r="E69" i="2"/>
  <c r="E36" i="2"/>
  <c r="F147" i="2"/>
  <c r="F149" i="2" s="1"/>
  <c r="F114" i="2"/>
  <c r="J69" i="2"/>
  <c r="J36" i="2"/>
  <c r="K70" i="2"/>
  <c r="K49" i="1"/>
  <c r="J114" i="2"/>
  <c r="J147" i="2"/>
  <c r="K147" i="2"/>
  <c r="K149" i="2" s="1"/>
  <c r="K114" i="2"/>
  <c r="E114" i="2"/>
  <c r="E148" i="2"/>
  <c r="E149" i="2" s="1"/>
  <c r="H11" i="1"/>
  <c r="H20" i="1" s="1"/>
  <c r="H23" i="1" s="1"/>
  <c r="H30" i="1"/>
  <c r="H39" i="1" s="1"/>
  <c r="H42" i="1" s="1"/>
  <c r="H58" i="1"/>
  <c r="H63" i="1" s="1"/>
  <c r="I49" i="1"/>
  <c r="I70" i="2"/>
  <c r="D69" i="2"/>
  <c r="D36" i="2"/>
  <c r="E49" i="1"/>
  <c r="E70" i="2"/>
  <c r="J49" i="1"/>
  <c r="J70" i="2"/>
  <c r="J71" i="2" s="1"/>
  <c r="K69" i="2"/>
  <c r="K36" i="2"/>
  <c r="F69" i="2"/>
  <c r="F36" i="2"/>
  <c r="D112" i="2"/>
  <c r="I71" i="2" l="1"/>
  <c r="F71" i="2"/>
  <c r="D71" i="2"/>
  <c r="J149" i="2"/>
  <c r="E71" i="2"/>
  <c r="D11" i="1"/>
  <c r="D20" i="1" s="1"/>
  <c r="D23" i="1" s="1"/>
  <c r="D30" i="1"/>
  <c r="D39" i="1" s="1"/>
  <c r="D42" i="1" s="1"/>
  <c r="D58" i="1"/>
  <c r="D63" i="1" s="1"/>
  <c r="D148" i="2"/>
  <c r="J11" i="1"/>
  <c r="J20" i="1" s="1"/>
  <c r="J23" i="1" s="1"/>
  <c r="J30" i="1"/>
  <c r="J39" i="1" s="1"/>
  <c r="J42" i="1" s="1"/>
  <c r="J58" i="1"/>
  <c r="J63" i="1" s="1"/>
  <c r="I30" i="1"/>
  <c r="I39" i="1" s="1"/>
  <c r="I42" i="1" s="1"/>
  <c r="I11" i="1"/>
  <c r="I20" i="1" s="1"/>
  <c r="I23" i="1" s="1"/>
  <c r="I58" i="1"/>
  <c r="I63" i="1" s="1"/>
  <c r="K11" i="1"/>
  <c r="K20" i="1" s="1"/>
  <c r="K23" i="1" s="1"/>
  <c r="K30" i="1"/>
  <c r="K39" i="1" s="1"/>
  <c r="K42" i="1" s="1"/>
  <c r="K58" i="1"/>
  <c r="K63" i="1" s="1"/>
  <c r="E11" i="1"/>
  <c r="E20" i="1" s="1"/>
  <c r="E23" i="1" s="1"/>
  <c r="E58" i="1"/>
  <c r="E63" i="1" s="1"/>
  <c r="E30" i="1"/>
  <c r="E39" i="1" s="1"/>
  <c r="E42" i="1" s="1"/>
  <c r="F30" i="1"/>
  <c r="F39" i="1" s="1"/>
  <c r="F42" i="1" s="1"/>
  <c r="F11" i="1"/>
  <c r="F20" i="1" s="1"/>
  <c r="F23" i="1" s="1"/>
  <c r="F58" i="1"/>
  <c r="F63" i="1" s="1"/>
  <c r="D147" i="2"/>
  <c r="D114" i="2"/>
  <c r="K71" i="2"/>
  <c r="D149" i="2" l="1"/>
  <c r="G18" i="15" l="1"/>
  <c r="G23" i="15" s="1"/>
  <c r="G46" i="15" l="1"/>
  <c r="G48" i="15" s="1"/>
  <c r="G90" i="2" l="1"/>
  <c r="G14" i="2"/>
  <c r="M12" i="2"/>
  <c r="M14" i="2" s="1"/>
  <c r="L12" i="2"/>
  <c r="L14" i="2" s="1"/>
  <c r="G81" i="15" l="1"/>
  <c r="G92" i="2"/>
  <c r="L90" i="2"/>
  <c r="L92" i="2" s="1"/>
  <c r="M90" i="2"/>
  <c r="M92" i="2" s="1"/>
  <c r="G19" i="2"/>
  <c r="G18" i="2"/>
  <c r="L18" i="2" l="1"/>
  <c r="M18" i="2"/>
  <c r="G96" i="2"/>
  <c r="G97" i="2"/>
  <c r="G28" i="2"/>
  <c r="G100" i="2"/>
  <c r="L22" i="2"/>
  <c r="M22" i="2"/>
  <c r="L19" i="2"/>
  <c r="M19" i="2"/>
  <c r="M97" i="2" l="1"/>
  <c r="L97" i="2"/>
  <c r="L96" i="2"/>
  <c r="M96" i="2"/>
  <c r="G106" i="2"/>
  <c r="L100" i="2"/>
  <c r="M100" i="2"/>
  <c r="G31" i="2"/>
  <c r="G30" i="2"/>
  <c r="L28" i="2"/>
  <c r="M28" i="2"/>
  <c r="L30" i="2" l="1"/>
  <c r="M30" i="2"/>
  <c r="G34" i="2"/>
  <c r="G109" i="2"/>
  <c r="G108" i="2"/>
  <c r="L106" i="2"/>
  <c r="M106" i="2"/>
  <c r="L31" i="2"/>
  <c r="M31" i="2"/>
  <c r="G35" i="2"/>
  <c r="L109" i="2" l="1"/>
  <c r="M109" i="2"/>
  <c r="G113" i="2"/>
  <c r="G69" i="2"/>
  <c r="G36" i="2"/>
  <c r="M34" i="2"/>
  <c r="L34" i="2"/>
  <c r="G70" i="2"/>
  <c r="G49" i="1"/>
  <c r="M35" i="2"/>
  <c r="L35" i="2"/>
  <c r="G112" i="2"/>
  <c r="M108" i="2"/>
  <c r="L108" i="2"/>
  <c r="G148" i="2" l="1"/>
  <c r="L113" i="2"/>
  <c r="M113" i="2"/>
  <c r="G147" i="2"/>
  <c r="G114" i="2"/>
  <c r="M112" i="2"/>
  <c r="L112" i="2"/>
  <c r="M70" i="2"/>
  <c r="L70" i="2"/>
  <c r="G71" i="2"/>
  <c r="M69" i="2"/>
  <c r="L69" i="2"/>
  <c r="G30" i="1"/>
  <c r="G39" i="1" s="1"/>
  <c r="G42" i="1" s="1"/>
  <c r="G11" i="1"/>
  <c r="G20" i="1" s="1"/>
  <c r="G23" i="1" s="1"/>
  <c r="G58" i="1"/>
  <c r="G63" i="1" s="1"/>
  <c r="M11" i="1"/>
  <c r="M20" i="1" s="1"/>
  <c r="M23" i="1" s="1"/>
  <c r="N49" i="1"/>
  <c r="N30" i="1"/>
  <c r="M49" i="1"/>
  <c r="M58" i="1" s="1"/>
  <c r="M63" i="1" s="1"/>
  <c r="N11" i="1"/>
  <c r="M30" i="1"/>
  <c r="M39" i="1" s="1"/>
  <c r="M42" i="1" s="1"/>
  <c r="L36" i="2"/>
  <c r="M36" i="2"/>
  <c r="G149" i="2" l="1"/>
  <c r="L147" i="2"/>
  <c r="M147" i="2"/>
  <c r="N39" i="1"/>
  <c r="M71" i="2"/>
  <c r="L71" i="2"/>
  <c r="N20" i="1"/>
  <c r="N58" i="1"/>
  <c r="M114" i="2"/>
  <c r="L114" i="2"/>
  <c r="L148" i="2"/>
  <c r="M148" i="2"/>
  <c r="N23" i="1" l="1"/>
  <c r="N42" i="1"/>
  <c r="M149" i="2"/>
  <c r="L149" i="2"/>
  <c r="N63" i="1"/>
  <c r="D46" i="15" l="1"/>
  <c r="D48" i="15" s="1"/>
  <c r="D50" i="15" l="1"/>
  <c r="D80" i="15"/>
  <c r="D82" i="15" s="1"/>
  <c r="G78" i="15" l="1"/>
  <c r="G80" i="15" s="1"/>
  <c r="G82" i="15" s="1"/>
  <c r="G50" i="15" l="1"/>
</calcChain>
</file>

<file path=xl/sharedStrings.xml><?xml version="1.0" encoding="utf-8"?>
<sst xmlns="http://schemas.openxmlformats.org/spreadsheetml/2006/main" count="1318" uniqueCount="584">
  <si>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</si>
  <si>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</si>
  <si>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</si>
  <si>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</si>
  <si>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</si>
  <si>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</si>
  <si>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</si>
  <si>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</si>
  <si>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</si>
  <si>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</si>
  <si>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</si>
  <si>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</si>
  <si>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</si>
  <si>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</si>
  <si>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</si>
  <si>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</si>
  <si>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</si>
  <si>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</si>
  <si>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</si>
  <si>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</si>
  <si>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</si>
  <si>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</si>
  <si>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</si>
  <si>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</si>
  <si>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</si>
  <si>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</si>
  <si>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</si>
  <si>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</si>
  <si>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</si>
  <si>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</si>
  <si>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</si>
  <si>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</si>
  <si>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</si>
  <si>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</si>
  <si>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</si>
  <si>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</si>
  <si>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</si>
  <si>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</si>
  <si>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</si>
  <si>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</si>
  <si>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</si>
  <si>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</si>
  <si>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</si>
  <si>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</si>
  <si>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</si>
  <si>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</si>
  <si>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</si>
  <si>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</si>
  <si>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</si>
  <si>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</si>
  <si>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</si>
  <si>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</si>
  <si>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</si>
  <si>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</si>
  <si>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</si>
  <si>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</si>
  <si>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</si>
  <si>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</si>
  <si>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</si>
  <si>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</si>
  <si>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</si>
  <si>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</si>
  <si>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</si>
  <si>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</si>
  <si>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</si>
  <si>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</si>
  <si>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</si>
  <si>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</si>
  <si>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</si>
  <si>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</si>
  <si>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</si>
  <si>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</si>
  <si>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</si>
  <si>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</si>
  <si>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</si>
  <si>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</si>
  <si>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</si>
  <si>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</si>
  <si>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</si>
  <si>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</si>
  <si>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</si>
  <si>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</si>
  <si>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</si>
  <si>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</si>
  <si>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</si>
  <si>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</si>
  <si>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</si>
  <si>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</si>
  <si>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</si>
  <si>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</si>
  <si>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</si>
  <si>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</si>
  <si>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</si>
  <si>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</si>
  <si>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</si>
  <si>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</si>
  <si>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</si>
  <si>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</si>
  <si>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</si>
  <si>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</si>
  <si>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</si>
  <si>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</si>
  <si>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</si>
  <si>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</si>
  <si>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</si>
  <si>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</si>
  <si>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</si>
  <si>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</si>
  <si>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</si>
  <si>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</si>
  <si>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</si>
  <si>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</si>
  <si>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</si>
  <si>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</si>
  <si>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</si>
  <si>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</si>
  <si>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</si>
  <si>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</si>
  <si>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</si>
  <si>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</si>
  <si>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</si>
  <si>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</si>
  <si>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</si>
  <si>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</si>
  <si>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</si>
  <si>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</si>
  <si>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</si>
  <si>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</si>
  <si>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</si>
  <si>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</si>
  <si>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</si>
  <si>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</si>
  <si>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</si>
  <si>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</si>
  <si>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</si>
  <si>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</si>
  <si>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</si>
  <si>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</si>
  <si>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</si>
  <si>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</si>
  <si>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</si>
  <si>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</si>
  <si>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</si>
  <si>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</si>
  <si>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</si>
  <si>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</si>
  <si>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</si>
  <si>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</si>
  <si>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</si>
  <si>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</si>
  <si>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</si>
  <si>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</si>
  <si>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</si>
  <si>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</si>
  <si>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</si>
  <si>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</si>
  <si>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</si>
  <si>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</si>
  <si>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</si>
  <si>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</si>
  <si>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</si>
  <si>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</si>
  <si>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</si>
  <si>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</si>
  <si>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</si>
  <si>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</si>
  <si>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</si>
  <si>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</si>
  <si>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</si>
  <si>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</si>
  <si>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</si>
  <si>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</si>
  <si>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</si>
  <si>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</si>
  <si>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</si>
  <si>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</si>
  <si>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</si>
  <si>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</si>
  <si>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</si>
  <si>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</si>
  <si>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</si>
  <si>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</si>
  <si>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</si>
  <si>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</si>
  <si>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</si>
  <si>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</si>
  <si>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</si>
  <si>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</si>
  <si>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</si>
  <si>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</si>
  <si>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</si>
  <si>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</si>
  <si>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</si>
  <si>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</si>
  <si>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</si>
  <si>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</si>
  <si>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</si>
  <si>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</si>
  <si>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</si>
  <si>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</si>
  <si>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</si>
  <si>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</si>
  <si>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</si>
  <si>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</si>
  <si>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</si>
  <si>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</si>
  <si>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</si>
  <si>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</si>
  <si>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</si>
  <si>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</si>
  <si>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</si>
  <si>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</si>
  <si>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</si>
  <si>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</si>
  <si>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</si>
  <si>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</si>
  <si>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</si>
  <si>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</si>
  <si>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</si>
  <si>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</si>
  <si>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</si>
  <si>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</si>
  <si>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</si>
  <si>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</si>
  <si>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</si>
  <si>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</si>
  <si>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</si>
  <si>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</si>
  <si>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</si>
  <si>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</si>
  <si>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</si>
  <si>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</si>
  <si>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</si>
  <si>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</si>
  <si>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</si>
  <si>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</si>
  <si>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</si>
  <si>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</si>
  <si>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</si>
  <si>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</si>
  <si>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</si>
  <si>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</si>
  <si>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</si>
  <si>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</si>
  <si>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</si>
  <si>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</si>
  <si>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</si>
  <si>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</si>
  <si>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</si>
  <si>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</si>
  <si>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</si>
  <si>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</si>
  <si>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</si>
  <si>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</si>
  <si>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</si>
  <si>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</si>
  <si>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</si>
  <si>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</si>
  <si>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</si>
  <si>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</si>
  <si>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</si>
  <si>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</si>
  <si>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</si>
  <si>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</si>
  <si>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</si>
  <si>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</si>
  <si>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</si>
  <si>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</si>
  <si>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</si>
  <si>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</si>
  <si>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</si>
  <si>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</si>
  <si>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</si>
  <si>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</si>
  <si>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</si>
  <si>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</si>
  <si>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</si>
  <si>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</si>
  <si>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</si>
  <si>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</si>
  <si>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</si>
  <si>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</si>
  <si>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</si>
  <si>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</si>
  <si>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</si>
  <si>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</si>
  <si>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</si>
  <si>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</si>
  <si>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</si>
  <si>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</si>
  <si>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</si>
  <si>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</si>
  <si>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</si>
  <si>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</si>
  <si>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</si>
  <si>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</si>
  <si>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</si>
  <si>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</si>
  <si>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</si>
  <si>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</si>
  <si>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</si>
  <si>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</si>
  <si>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</si>
  <si>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</si>
  <si>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</si>
  <si>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</si>
  <si>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</si>
  <si>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</si>
  <si>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</si>
  <si>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</si>
  <si>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</si>
  <si>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</si>
  <si>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</si>
  <si>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</si>
  <si>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</si>
  <si>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</si>
  <si>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</si>
  <si>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</si>
  <si>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</si>
  <si>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</si>
  <si>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</si>
  <si>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</si>
  <si>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</si>
  <si>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</si>
  <si>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</si>
  <si>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</si>
  <si>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</si>
  <si>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</si>
  <si>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</si>
  <si>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</si>
  <si>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</si>
  <si>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</si>
  <si>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</si>
  <si>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</si>
  <si>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</si>
  <si>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</si>
  <si>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</si>
  <si>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</si>
  <si>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</si>
  <si>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</si>
  <si>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</si>
  <si>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</si>
  <si>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</si>
  <si>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</si>
  <si>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</si>
  <si>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</si>
  <si>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</si>
  <si>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</si>
  <si>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</si>
  <si>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</si>
  <si>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</si>
  <si>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</si>
  <si>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</si>
  <si>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</si>
  <si>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</si>
  <si>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</si>
  <si>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</si>
  <si>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</si>
  <si>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</si>
  <si>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</si>
  <si>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</si>
  <si>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</si>
  <si>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</si>
  <si>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</si>
  <si>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</si>
  <si>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</si>
  <si>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</si>
  <si>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</si>
  <si>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</si>
  <si>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</si>
  <si>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</si>
  <si>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</si>
  <si>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</si>
  <si>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</si>
  <si>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</si>
  <si>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</si>
  <si>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</si>
  <si>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</si>
  <si>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</si>
  <si>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</si>
  <si>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</si>
  <si>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</si>
  <si>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</si>
  <si>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</si>
  <si>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</si>
  <si>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</si>
  <si>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</si>
  <si>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</si>
  <si>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</si>
  <si>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</si>
  <si>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</si>
  <si>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</si>
  <si>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</si>
  <si>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</si>
  <si>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</si>
  <si>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</si>
  <si>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</si>
  <si>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</si>
  <si>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</si>
  <si>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</si>
  <si>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</si>
  <si>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</si>
  <si>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</si>
  <si>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</si>
  <si>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</si>
  <si>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</si>
  <si>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</si>
  <si>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</si>
  <si>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</si>
  <si>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</si>
  <si>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</si>
  <si>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</si>
  <si>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</si>
  <si>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</si>
  <si>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</si>
  <si>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</si>
  <si>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</si>
  <si>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</si>
  <si>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</si>
  <si>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</si>
  <si>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</si>
  <si>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</si>
  <si>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</si>
  <si>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</si>
  <si>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</si>
  <si>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</si>
  <si>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</si>
  <si>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</si>
  <si>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</si>
  <si>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</si>
  <si>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</si>
  <si>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</si>
  <si>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</si>
  <si>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</si>
  <si>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</si>
  <si>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</si>
  <si>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</si>
  <si>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</si>
  <si>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</si>
  <si>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</si>
  <si>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</si>
  <si>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</si>
  <si>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</si>
  <si>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</si>
  <si>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</si>
  <si>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</si>
  <si>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</si>
  <si>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</si>
  <si>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</si>
  <si>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</si>
  <si>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</si>
  <si>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</si>
  <si>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</si>
  <si>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</si>
  <si>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</si>
  <si>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</si>
  <si>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</si>
  <si>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</si>
  <si>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</si>
  <si>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</si>
  <si>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</si>
  <si>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</si>
  <si>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</si>
  <si>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</si>
  <si>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</si>
  <si>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</si>
  <si>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</si>
  <si>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</si>
  <si>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</si>
  <si>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</si>
  <si>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</si>
  <si>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</si>
  <si>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</si>
  <si>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</si>
  <si>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</si>
  <si>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</si>
  <si>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</si>
  <si>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</si>
  <si>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</si>
  <si>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</si>
  <si>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</si>
  <si>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</si>
  <si>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</si>
  <si>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</si>
  <si>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</si>
  <si>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</si>
  <si>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</si>
  <si>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</si>
  <si>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</si>
  <si>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</si>
  <si>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</si>
  <si>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</si>
  <si>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</si>
  <si>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</si>
  <si>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</si>
  <si>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</si>
  <si>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</si>
  <si>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</si>
  <si>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</si>
  <si>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</si>
  <si>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</si>
  <si>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</si>
  <si>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</si>
  <si>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</si>
  <si>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</si>
  <si>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</si>
  <si>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</si>
  <si>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</si>
  <si>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</si>
  <si>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</si>
  <si>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</si>
  <si>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</si>
  <si>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</si>
  <si>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</si>
  <si>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</si>
  <si>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</si>
  <si>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</si>
  <si>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</si>
  <si>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</si>
  <si>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</si>
  <si>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</si>
  <si>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</si>
  <si>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</si>
  <si>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</si>
  <si>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</si>
  <si>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</si>
  <si>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</si>
  <si>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</si>
  <si>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</si>
  <si>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</si>
  <si>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</si>
  <si>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</si>
  <si>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DPCR4 residual distribution losses incentive and Growth Term (ENWL, NPg, UKPN and SP licensees)</t>
  </si>
  <si>
    <t>Penalty only mechanism. No penalties incurred to date.</t>
  </si>
  <si>
    <t>The losses discretionary reward scheme is only applicable in 2016/17, 2018/19 and 2020/21. No reward was achieved in 2018/19.</t>
  </si>
  <si>
    <t>Columns D to G match the latest submitted Revenue Returns (July 2018). H to I reflects actual performance uplifted by inlfation and present value adjustment. J to K shows the forecast performance impact on revenue.</t>
  </si>
  <si>
    <t>Columns D to G match the latest submitted Revenue Returns (July 2018). H to I reflects actual performance uplifted by inlfation. J to K shows the forecast performance impact on revenue</t>
  </si>
  <si>
    <t>ICE is a RIIO performance metric, therefore N/A in D to H. SPD has not suffered any penalty (per D13:G13) therefore G to J are zero. K shows forecast performance impact on revenue.</t>
  </si>
  <si>
    <t>2018/19 does not inlclude Stakeholder Engagement Reward. This has not been determined by Ofgem.</t>
  </si>
  <si>
    <t>Cell I67 relates to 2018/19s performance. This does not include any Stakeholder Engagement Reward element - consistant with row 11 and 21 above.</t>
  </si>
  <si>
    <t>May 2019 Publication</t>
  </si>
  <si>
    <t>15/16</t>
  </si>
  <si>
    <t>Increase in UoS tariffs relating to Supplier of Last Resort derogation</t>
  </si>
  <si>
    <t>Transfers of assets from customers</t>
  </si>
  <si>
    <t>Adjustment to taxable profit from 31 December year end to 31 March year end</t>
  </si>
  <si>
    <t>Corporation tax rate change adjustment</t>
  </si>
  <si>
    <t>Tax paid on items with no allowance</t>
  </si>
  <si>
    <t>LCNF Payments Cost &amp; Payments</t>
  </si>
  <si>
    <t>SPPS Depreciation of Non-System assets</t>
  </si>
  <si>
    <t>Other Operating Income in Reg Accounts</t>
  </si>
  <si>
    <t>Connections &amp; NTR Costs</t>
  </si>
  <si>
    <t>Ex-Gratia payments borne by SPPS, shown in C23 of RRP</t>
  </si>
  <si>
    <t xml:space="preserve">Non-System Capex </t>
  </si>
  <si>
    <t>Pensions Deficit Repair Payments</t>
  </si>
  <si>
    <t>Net Book value of Disposals in RRP not in top section of F8</t>
  </si>
  <si>
    <t>Other</t>
  </si>
  <si>
    <t>Pass through</t>
  </si>
  <si>
    <t>Other Non Activity Based Costs</t>
  </si>
  <si>
    <t>Total Costs outside Price Control</t>
  </si>
  <si>
    <t>Related Party Margin</t>
  </si>
  <si>
    <t>NIA &amp; IFI/LCNF</t>
  </si>
  <si>
    <t>Cash proceeds from sales of assets and scrap</t>
  </si>
  <si>
    <t>Value added services (DRS 8)</t>
  </si>
  <si>
    <t>Timing differences of delivery of outputs</t>
  </si>
  <si>
    <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</si>
  <si>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</si>
  <si>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</si>
  <si>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</si>
  <si>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</si>
  <si>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</si>
  <si>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</si>
  <si>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</si>
  <si>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</si>
  <si>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</si>
  <si>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</si>
  <si>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</si>
  <si>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</si>
  <si>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Excluded Services included in other operating income (DRS 2,3,8,9)</t>
  </si>
  <si>
    <t>De Minimis included in other operating income</t>
  </si>
  <si>
    <t>Customer contributions from C20 in C&amp;V</t>
  </si>
  <si>
    <t>Out(under) performance - Ofgem view</t>
  </si>
  <si>
    <t>Out(under) performance - SPEN view</t>
  </si>
  <si>
    <r>
      <t>Based on the interest expense in our audited financial statements our interest payments are -£125.6m (</t>
    </r>
    <r>
      <rPr>
        <sz val="8"/>
        <color rgb="FF0070C0"/>
        <rFont val="Calibri"/>
        <family val="2"/>
      </rPr>
      <t>12/13 prices, actual gearing</t>
    </r>
    <r>
      <rPr>
        <sz val="11"/>
        <color rgb="FF0070C0"/>
        <rFont val="Calibri"/>
        <family val="2"/>
      </rPr>
      <t xml:space="preserve">) in excess of our allowance. </t>
    </r>
  </si>
  <si>
    <t>In accordance with the RIGs we are required by Ofgem to present our financing performance in this format. The Ofgem calculation of a real interest expense is subjective.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</si>
</sst>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s>
  <fonts count="250">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
      <sz val="11"/>
      <color rgb="FF0070C0"/>
      <name val="Calibri"/>
      <family val="2"/>
    </font>
    <font>
      <sz val="8"/>
      <color rgb="FF0070C0"/>
      <name val="Calibri"/>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6">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173"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172" fontId="5" fillId="52" borderId="65" xfId="1" applyNumberFormat="1" applyFont="1" applyFill="1" applyBorder="1" applyProtection="1"/>
    <xf numFmtId="172" fontId="5" fillId="52" borderId="65" xfId="75" applyNumberFormat="1" applyFont="1" applyFill="1" applyBorder="1" applyProtection="1"/>
    <xf numFmtId="172" fontId="5" fillId="52" borderId="66" xfId="75"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0" fontId="24" fillId="0" borderId="0" xfId="0" applyFont="1" applyFill="1" applyAlignment="1">
      <alignment horizontal="right" vertical="center"/>
    </xf>
    <xf numFmtId="0" fontId="5" fillId="3" borderId="30" xfId="2" applyNumberFormat="1" applyFont="1" applyFill="1" applyBorder="1" applyAlignment="1">
      <alignment horizontal="center" vertical="center"/>
    </xf>
    <xf numFmtId="0" fontId="0" fillId="3" borderId="0" xfId="0" applyFont="1" applyFill="1" applyAlignment="1">
      <alignment horizontal="left" vertical="top" indent="1"/>
    </xf>
    <xf numFmtId="173" fontId="5" fillId="3" borderId="30" xfId="0" applyNumberFormat="1" applyFont="1" applyFill="1" applyBorder="1" applyAlignment="1" applyProtection="1">
      <alignment horizontal="right" wrapText="1"/>
      <protection locked="0"/>
    </xf>
    <xf numFmtId="172" fontId="5" fillId="3" borderId="83" xfId="2" applyNumberFormat="1" applyFont="1" applyFill="1" applyBorder="1"/>
    <xf numFmtId="172" fontId="0" fillId="52" borderId="30" xfId="0" applyNumberFormat="1" applyFont="1" applyFill="1" applyBorder="1" applyAlignment="1">
      <alignment horizontal="right" vertical="center"/>
    </xf>
    <xf numFmtId="172" fontId="5" fillId="3" borderId="84" xfId="2" applyNumberFormat="1" applyFont="1" applyFill="1" applyBorder="1"/>
    <xf numFmtId="0" fontId="248" fillId="0" borderId="0" xfId="0" applyFont="1" applyAlignment="1">
      <alignment vertical="center"/>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0" xfId="92" applyBorder="1" applyAlignment="1">
      <alignment horizontal="center"/>
    </xf>
    <xf numFmtId="0" fontId="29" fillId="0" borderId="32" xfId="92" applyBorder="1" applyAlignment="1">
      <alignment horizontal="center"/>
    </xf>
    <xf numFmtId="0" fontId="29" fillId="0" borderId="11"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71">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FF"/>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nsites\reg\licfin\Shared%20Documents\2018.19%20RFPR\01_Consol\01_Revsions\RFPR%202018.19%20S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 Financing"/>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801759/PU797_Forecast_for_the_UK_Economy_May_2019_cover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7.125" customWidth="1"/>
    <col min="3" max="6" width="14.125" customWidth="1"/>
    <col min="7" max="7" width="14.125" style="221" customWidth="1"/>
    <col min="8" max="11" width="14.125" customWidth="1"/>
  </cols>
  <sheetData>
    <row r="1" spans="1:11" s="32" customFormat="1" ht="20.25">
      <c r="A1" s="30" t="s">
        <v>308</v>
      </c>
      <c r="B1" s="28"/>
      <c r="C1" s="28"/>
      <c r="D1" s="261"/>
      <c r="E1" s="262"/>
      <c r="F1" s="28"/>
      <c r="G1" s="571"/>
      <c r="H1" s="28"/>
      <c r="I1" s="28"/>
      <c r="J1" s="28"/>
      <c r="K1" s="28"/>
    </row>
    <row r="2" spans="1:11" s="32" customFormat="1" ht="20.25">
      <c r="A2" s="30" t="str">
        <f>'RFPR cover'!C5</f>
        <v>SPD</v>
      </c>
      <c r="B2" s="28"/>
      <c r="C2" s="28"/>
      <c r="D2" s="262"/>
      <c r="E2" s="262"/>
      <c r="F2" s="28"/>
      <c r="G2" s="571"/>
      <c r="H2" s="28"/>
      <c r="I2" s="28"/>
      <c r="J2" s="28"/>
      <c r="K2" s="28"/>
    </row>
    <row r="3" spans="1:11" s="32" customFormat="1" ht="20.25">
      <c r="A3" s="30">
        <f>'RFPR cover'!C7</f>
        <v>2019</v>
      </c>
      <c r="B3" s="28"/>
      <c r="C3" s="28"/>
      <c r="D3" s="262"/>
      <c r="E3" s="262"/>
      <c r="F3" s="28"/>
      <c r="G3" s="571"/>
      <c r="H3" s="28"/>
      <c r="I3" s="28"/>
      <c r="J3" s="28"/>
      <c r="K3" s="28"/>
    </row>
    <row r="4" spans="1:11" ht="14.25">
      <c r="A4" s="31"/>
      <c r="B4" s="31"/>
      <c r="C4" s="31"/>
      <c r="D4" s="31"/>
      <c r="E4" s="31"/>
      <c r="H4" s="10"/>
      <c r="I4" s="10"/>
      <c r="J4" s="10"/>
    </row>
    <row r="5" spans="1:11" ht="13.5" customHeight="1">
      <c r="A5" s="31"/>
      <c r="B5" s="77" t="s">
        <v>62</v>
      </c>
      <c r="C5" s="46" t="s">
        <v>45</v>
      </c>
      <c r="D5" s="354"/>
      <c r="E5" s="19"/>
      <c r="F5" s="11"/>
      <c r="G5" s="572" t="s">
        <v>0</v>
      </c>
      <c r="H5" s="10"/>
      <c r="I5" s="10"/>
      <c r="J5" s="10"/>
    </row>
    <row r="6" spans="1:11" ht="13.5" customHeight="1">
      <c r="A6" s="31"/>
      <c r="B6" s="77" t="s">
        <v>189</v>
      </c>
      <c r="C6" s="82" t="str">
        <f>INDEX(Data!$A$73:$A$100,MATCH($C$5,Data!$B$73:$B$100,0),0)&amp;"1"</f>
        <v>ED1</v>
      </c>
      <c r="D6" s="19"/>
      <c r="E6" s="19"/>
      <c r="F6" s="9"/>
      <c r="G6" s="572" t="s">
        <v>1</v>
      </c>
      <c r="H6" s="10"/>
      <c r="I6" s="10"/>
      <c r="J6" s="10"/>
    </row>
    <row r="7" spans="1:11" ht="25.5">
      <c r="A7" s="31"/>
      <c r="B7" s="78" t="s">
        <v>188</v>
      </c>
      <c r="C7" s="83">
        <v>2019</v>
      </c>
      <c r="D7" s="18"/>
      <c r="E7" s="19"/>
      <c r="F7" s="8"/>
      <c r="G7" s="573" t="s">
        <v>2</v>
      </c>
      <c r="H7" s="10"/>
      <c r="I7" s="10"/>
      <c r="J7" s="10"/>
    </row>
    <row r="8" spans="1:11" ht="14.25">
      <c r="A8" s="31"/>
      <c r="B8" s="77" t="s">
        <v>37</v>
      </c>
      <c r="C8" s="84"/>
      <c r="D8" s="19"/>
      <c r="E8" s="18"/>
      <c r="F8" s="7"/>
      <c r="G8" s="572" t="s">
        <v>3</v>
      </c>
      <c r="H8" s="10"/>
      <c r="I8" s="10"/>
      <c r="J8" s="10"/>
    </row>
    <row r="9" spans="1:11" ht="14.25">
      <c r="A9" s="31"/>
      <c r="B9" s="77" t="s">
        <v>38</v>
      </c>
      <c r="C9" s="85"/>
      <c r="D9" s="18"/>
      <c r="E9" s="18"/>
      <c r="F9" s="6"/>
      <c r="G9" s="572" t="s">
        <v>4</v>
      </c>
      <c r="H9" s="10"/>
      <c r="I9" s="10"/>
      <c r="J9" s="10"/>
    </row>
    <row r="10" spans="1:11" ht="14.25">
      <c r="A10" s="31"/>
      <c r="B10" s="77" t="s">
        <v>70</v>
      </c>
      <c r="C10" s="86">
        <f>SUMIF(Data!$B$72:$B$100,C5,Data!$C$72:$C$100)</f>
        <v>0.06</v>
      </c>
      <c r="D10" s="18"/>
      <c r="E10" s="18"/>
      <c r="F10" s="5"/>
      <c r="G10" s="572" t="s">
        <v>5</v>
      </c>
      <c r="H10" s="10"/>
      <c r="I10" s="10"/>
      <c r="J10" s="10"/>
    </row>
    <row r="11" spans="1:11" ht="14.25">
      <c r="A11" s="31"/>
      <c r="B11" s="77" t="s">
        <v>71</v>
      </c>
      <c r="C11" s="87">
        <f>SUMIF(Data!$B$72:$B$100,C5,Data!$D$72:$D$100)</f>
        <v>0.53500000000000003</v>
      </c>
      <c r="D11" s="19"/>
      <c r="E11" s="19"/>
      <c r="F11" s="4"/>
      <c r="G11" s="572" t="s">
        <v>6</v>
      </c>
      <c r="H11" s="10"/>
      <c r="I11" s="10"/>
      <c r="J11" s="10"/>
    </row>
    <row r="12" spans="1:11">
      <c r="A12" s="31"/>
      <c r="B12" s="77" t="s">
        <v>115</v>
      </c>
      <c r="C12" s="86">
        <f>SUMIF(Data!$B$72:$B$100,C5,Data!$E$72:$E$100)</f>
        <v>0.65</v>
      </c>
      <c r="D12" s="18"/>
      <c r="E12" s="18"/>
      <c r="F12" s="18"/>
      <c r="G12" s="574"/>
    </row>
    <row r="13" spans="1:11">
      <c r="A13" s="31"/>
      <c r="B13" s="77" t="s">
        <v>507</v>
      </c>
      <c r="C13" s="82">
        <f>INDEX(Data!$G$73:$G$100,MATCH($C$5,Data!$B$73:$B$100,0),0)</f>
        <v>2016</v>
      </c>
      <c r="D13" s="18"/>
      <c r="E13" s="18"/>
      <c r="F13" s="76" t="s">
        <v>191</v>
      </c>
    </row>
    <row r="14" spans="1:11">
      <c r="A14" s="31"/>
      <c r="B14" s="79" t="s">
        <v>185</v>
      </c>
      <c r="C14" s="82" t="str">
        <f>INDEX(Data!$H$73:$H$100,MATCH($C$5,Data!$B$73:$B$100,0),0)</f>
        <v>£m 12/13</v>
      </c>
      <c r="D14" s="18"/>
      <c r="E14" s="18"/>
      <c r="F14" s="89">
        <v>0.1</v>
      </c>
      <c r="G14" s="574"/>
    </row>
    <row r="15" spans="1:11">
      <c r="A15" s="31"/>
      <c r="B15" s="18"/>
      <c r="C15" s="18"/>
      <c r="D15" s="18"/>
      <c r="E15" s="18"/>
      <c r="F15" s="18"/>
      <c r="G15" s="574"/>
    </row>
    <row r="85" spans="1:1">
      <c r="A85" s="212"/>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85" zoomScaleNormal="85" workbookViewId="0">
      <pane ySplit="4" topLeftCell="A5" activePane="bottomLeft" state="frozen"/>
      <selection activeCell="B75" sqref="A1:XFD1048576"/>
      <selection pane="bottomLeft" activeCell="A5" sqref="A5"/>
    </sheetView>
  </sheetViews>
  <sheetFormatPr defaultRowHeight="12.75"/>
  <cols>
    <col min="1" max="1" width="8.375" customWidth="1"/>
    <col min="2" max="2" width="35.125" customWidth="1"/>
    <col min="8" max="8" width="10.125" bestFit="1" customWidth="1"/>
    <col min="14" max="14" width="9" customWidth="1"/>
  </cols>
  <sheetData>
    <row r="1" spans="1:14" ht="20.25">
      <c r="A1" s="378" t="s">
        <v>371</v>
      </c>
      <c r="B1" s="425"/>
      <c r="C1" s="425"/>
      <c r="D1" s="425"/>
      <c r="E1" s="425"/>
      <c r="F1" s="425"/>
      <c r="G1" s="425"/>
      <c r="H1" s="425"/>
      <c r="I1" s="425"/>
      <c r="J1" s="425"/>
      <c r="K1" s="425"/>
      <c r="L1" s="425"/>
      <c r="M1" s="425"/>
      <c r="N1" s="426"/>
    </row>
    <row r="2" spans="1:14" ht="20.25">
      <c r="A2" s="124" t="str">
        <f>'RFPR cover'!C5</f>
        <v>SPD</v>
      </c>
      <c r="B2" s="310"/>
      <c r="C2" s="310"/>
      <c r="D2" s="310"/>
      <c r="E2" s="310"/>
      <c r="F2" s="310"/>
      <c r="G2" s="310"/>
      <c r="H2" s="310"/>
      <c r="I2" s="310"/>
      <c r="J2" s="310"/>
      <c r="K2" s="310"/>
      <c r="L2" s="310"/>
      <c r="M2" s="310"/>
      <c r="N2" s="311"/>
    </row>
    <row r="3" spans="1:14" ht="20.25">
      <c r="A3" s="269">
        <f>'RFPR cover'!C7</f>
        <v>2019</v>
      </c>
      <c r="B3" s="312"/>
      <c r="C3" s="312"/>
      <c r="D3" s="312"/>
      <c r="E3" s="312"/>
      <c r="F3" s="312"/>
      <c r="G3" s="312"/>
      <c r="H3" s="312"/>
      <c r="I3" s="312"/>
      <c r="J3" s="312"/>
      <c r="K3" s="312"/>
      <c r="L3" s="312"/>
      <c r="M3" s="312"/>
      <c r="N3" s="313"/>
    </row>
    <row r="6" spans="1:14">
      <c r="A6" s="31"/>
      <c r="B6" s="21">
        <v>2018</v>
      </c>
      <c r="C6" s="20" t="s">
        <v>63</v>
      </c>
      <c r="D6" s="18"/>
      <c r="E6" s="18"/>
      <c r="F6" s="872"/>
      <c r="G6" s="18"/>
    </row>
    <row r="7" spans="1:14">
      <c r="A7" s="31"/>
      <c r="B7" s="21">
        <v>2019</v>
      </c>
      <c r="C7" s="20" t="s">
        <v>64</v>
      </c>
      <c r="D7" s="18"/>
      <c r="E7" s="18"/>
      <c r="F7" s="18"/>
      <c r="G7" s="18"/>
    </row>
    <row r="8" spans="1:14">
      <c r="A8" s="31"/>
      <c r="B8" s="21">
        <v>2020</v>
      </c>
      <c r="C8" s="20" t="s">
        <v>65</v>
      </c>
      <c r="D8" s="19"/>
      <c r="E8" s="19"/>
      <c r="F8" s="19"/>
      <c r="G8" s="19"/>
    </row>
    <row r="9" spans="1:14">
      <c r="A9" s="31"/>
      <c r="B9" s="21">
        <v>2021</v>
      </c>
      <c r="C9" s="20" t="s">
        <v>66</v>
      </c>
      <c r="D9" s="18"/>
      <c r="E9" s="18"/>
      <c r="F9" s="18"/>
      <c r="G9" s="18"/>
    </row>
    <row r="10" spans="1:14">
      <c r="A10" s="31"/>
      <c r="B10" s="21">
        <v>2022</v>
      </c>
      <c r="C10" s="20" t="s">
        <v>67</v>
      </c>
      <c r="D10" s="18"/>
      <c r="E10" s="18"/>
      <c r="F10" s="18"/>
    </row>
    <row r="11" spans="1:14">
      <c r="A11" s="31"/>
      <c r="B11" s="21">
        <v>2023</v>
      </c>
      <c r="C11" s="20" t="s">
        <v>68</v>
      </c>
      <c r="D11" s="19"/>
      <c r="E11" s="19"/>
      <c r="F11" s="19"/>
    </row>
    <row r="12" spans="1:14">
      <c r="A12" s="31"/>
      <c r="B12" s="18"/>
      <c r="C12" s="18"/>
      <c r="D12" s="18"/>
      <c r="E12" s="18"/>
      <c r="F12" s="18"/>
    </row>
    <row r="13" spans="1:14" ht="75" customHeight="1">
      <c r="A13" s="31"/>
      <c r="B13" s="575" t="s">
        <v>39</v>
      </c>
      <c r="C13" s="576" t="s">
        <v>40</v>
      </c>
      <c r="D13" s="576" t="s">
        <v>192</v>
      </c>
      <c r="E13" s="576" t="s">
        <v>41</v>
      </c>
      <c r="F13" s="576" t="s">
        <v>42</v>
      </c>
      <c r="G13" s="577" t="s">
        <v>321</v>
      </c>
    </row>
    <row r="14" spans="1:14">
      <c r="A14" s="31"/>
      <c r="B14" s="168" t="s">
        <v>74</v>
      </c>
      <c r="C14" s="176">
        <v>2010</v>
      </c>
      <c r="D14" s="169" t="str">
        <f>IF(VALUE(C14)&lt;='RFPR cover'!$C$7,"Actual","Forecast")</f>
        <v>Actual</v>
      </c>
      <c r="E14" s="390">
        <v>215.767</v>
      </c>
      <c r="F14" s="520">
        <v>221.75</v>
      </c>
      <c r="G14" s="170">
        <v>0.28000000000000003</v>
      </c>
      <c r="H14" s="873"/>
      <c r="J14" s="874"/>
    </row>
    <row r="15" spans="1:14">
      <c r="A15" s="31"/>
      <c r="B15" s="171" t="s">
        <v>75</v>
      </c>
      <c r="C15" s="177">
        <v>2011</v>
      </c>
      <c r="D15" s="172" t="str">
        <f>IF(VALUE(C15)&lt;='RFPR cover'!$C$7,"Actual","Forecast")</f>
        <v>Actual</v>
      </c>
      <c r="E15" s="391">
        <v>226.47499999999999</v>
      </c>
      <c r="F15" s="521">
        <v>233.45</v>
      </c>
      <c r="G15" s="173">
        <v>0.28000000000000003</v>
      </c>
      <c r="H15" s="873"/>
      <c r="J15" s="874"/>
    </row>
    <row r="16" spans="1:14" ht="14.25" customHeight="1">
      <c r="A16" s="31"/>
      <c r="B16" s="171" t="s">
        <v>76</v>
      </c>
      <c r="C16" s="177">
        <v>2012</v>
      </c>
      <c r="D16" s="172" t="str">
        <f>IF(VALUE(C16)&lt;='RFPR cover'!$C$7,"Actual","Forecast")</f>
        <v>Actual</v>
      </c>
      <c r="E16" s="391">
        <v>237.34200000000001</v>
      </c>
      <c r="F16" s="521">
        <v>241.65</v>
      </c>
      <c r="G16" s="173">
        <v>0.26</v>
      </c>
      <c r="H16" s="873"/>
      <c r="J16" s="874"/>
    </row>
    <row r="17" spans="2:10">
      <c r="B17" s="171" t="s">
        <v>77</v>
      </c>
      <c r="C17" s="177">
        <v>2013</v>
      </c>
      <c r="D17" s="172" t="str">
        <f>IF(VALUE(C17)&lt;='RFPR cover'!$C$7,"Actual","Forecast")</f>
        <v>Actual</v>
      </c>
      <c r="E17" s="391">
        <v>244.67500000000001</v>
      </c>
      <c r="F17" s="521">
        <v>249.1</v>
      </c>
      <c r="G17" s="173">
        <v>0.24</v>
      </c>
      <c r="H17" s="873"/>
      <c r="J17" s="874"/>
    </row>
    <row r="18" spans="2:10">
      <c r="B18" s="171" t="s">
        <v>78</v>
      </c>
      <c r="C18" s="177">
        <v>2014</v>
      </c>
      <c r="D18" s="172" t="str">
        <f>IF(VALUE(C18)&lt;='RFPR cover'!$C$7,"Actual","Forecast")</f>
        <v>Actual</v>
      </c>
      <c r="E18" s="391">
        <v>251.733</v>
      </c>
      <c r="F18" s="521">
        <v>255.25</v>
      </c>
      <c r="G18" s="173">
        <v>0.23</v>
      </c>
      <c r="H18" s="873"/>
      <c r="I18" s="540"/>
      <c r="J18" s="874"/>
    </row>
    <row r="19" spans="2:10">
      <c r="B19" s="171" t="s">
        <v>79</v>
      </c>
      <c r="C19" s="177">
        <v>2015</v>
      </c>
      <c r="D19" s="172" t="str">
        <f>IF(VALUE(C19)&lt;='RFPR cover'!$C$7,"Actual","Forecast")</f>
        <v>Actual</v>
      </c>
      <c r="E19" s="391">
        <v>256.66699999999997</v>
      </c>
      <c r="F19" s="521">
        <v>257.55</v>
      </c>
      <c r="G19" s="173">
        <v>0.21</v>
      </c>
      <c r="H19" s="873"/>
      <c r="I19" s="540"/>
      <c r="J19" s="874"/>
    </row>
    <row r="20" spans="2:10">
      <c r="B20" s="171" t="s">
        <v>80</v>
      </c>
      <c r="C20" s="177">
        <v>2016</v>
      </c>
      <c r="D20" s="172" t="str">
        <f>IF(VALUE(C20)&lt;='RFPR cover'!$C$7,"Actual","Forecast")</f>
        <v>Actual</v>
      </c>
      <c r="E20" s="391">
        <v>259.43299999999999</v>
      </c>
      <c r="F20" s="521">
        <v>261.25</v>
      </c>
      <c r="G20" s="173">
        <v>0.2</v>
      </c>
      <c r="H20" s="873"/>
      <c r="I20" s="540"/>
      <c r="J20" s="874"/>
    </row>
    <row r="21" spans="2:10">
      <c r="B21" s="171" t="s">
        <v>81</v>
      </c>
      <c r="C21" s="177">
        <v>2017</v>
      </c>
      <c r="D21" s="172" t="str">
        <f>IF(VALUE(C21)&lt;='RFPR cover'!$C$7,"Actual","Forecast")</f>
        <v>Actual</v>
      </c>
      <c r="E21" s="391">
        <v>264.99200000000002</v>
      </c>
      <c r="F21" s="521">
        <v>269.95000000000005</v>
      </c>
      <c r="G21" s="173">
        <v>0.2</v>
      </c>
      <c r="H21" s="873"/>
      <c r="I21" s="540"/>
      <c r="J21" s="874"/>
    </row>
    <row r="22" spans="2:10">
      <c r="B22" s="171" t="s">
        <v>63</v>
      </c>
      <c r="C22" s="177">
        <v>2018</v>
      </c>
      <c r="D22" s="172" t="str">
        <f>IF(VALUE(C22)&lt;='RFPR cover'!$C$7,"Actual","Forecast")</f>
        <v>Actual</v>
      </c>
      <c r="E22" s="391">
        <v>274.90800000000002</v>
      </c>
      <c r="F22" s="521">
        <v>279</v>
      </c>
      <c r="G22" s="173">
        <v>0.19</v>
      </c>
      <c r="H22" s="873"/>
      <c r="I22" s="540"/>
      <c r="J22" s="874"/>
    </row>
    <row r="23" spans="2:10">
      <c r="B23" s="523" t="s">
        <v>64</v>
      </c>
      <c r="C23" s="524">
        <v>2019</v>
      </c>
      <c r="D23" s="172" t="str">
        <f>IF(VALUE(C23)&lt;='RFPR cover'!$C$7,"Actual","Forecast")</f>
        <v>Actual</v>
      </c>
      <c r="E23" s="391">
        <v>283.30799999999999</v>
      </c>
      <c r="F23" s="521">
        <v>286.64999999999998</v>
      </c>
      <c r="G23" s="173">
        <v>0.19</v>
      </c>
      <c r="H23" s="873"/>
      <c r="J23" s="874"/>
    </row>
    <row r="24" spans="2:10">
      <c r="B24" s="523" t="s">
        <v>65</v>
      </c>
      <c r="C24" s="524">
        <v>2020</v>
      </c>
      <c r="D24" s="172" t="str">
        <f>IF(VALUE(C24)&lt;='RFPR cover'!$C$7,"Actual","Forecast")</f>
        <v>Forecast</v>
      </c>
      <c r="E24" s="522">
        <f t="shared" ref="E24:F27" si="0">E23*(1+INDEX($D$43:$J$43,0,MATCH($C24,$D$42:$J$42,0)))</f>
        <v>290.74483500000002</v>
      </c>
      <c r="F24" s="522">
        <f t="shared" si="0"/>
        <v>294.17456249999998</v>
      </c>
      <c r="G24" s="173">
        <v>0.19</v>
      </c>
      <c r="H24" s="873"/>
      <c r="J24" s="874"/>
    </row>
    <row r="25" spans="2:10">
      <c r="B25" s="523" t="s">
        <v>66</v>
      </c>
      <c r="C25" s="524">
        <v>2021</v>
      </c>
      <c r="D25" s="172" t="str">
        <f>IF(VALUE(C25)&lt;='RFPR cover'!$C$7,"Actual","Forecast")</f>
        <v>Forecast</v>
      </c>
      <c r="E25" s="522">
        <f t="shared" si="0"/>
        <v>298.81300417124999</v>
      </c>
      <c r="F25" s="522">
        <f t="shared" si="0"/>
        <v>302.33790660937495</v>
      </c>
      <c r="G25" s="173">
        <v>0.17</v>
      </c>
      <c r="H25" s="873"/>
      <c r="J25" s="874"/>
    </row>
    <row r="26" spans="2:10">
      <c r="B26" s="523" t="s">
        <v>67</v>
      </c>
      <c r="C26" s="524">
        <v>2022</v>
      </c>
      <c r="D26" s="172" t="str">
        <f>IF(VALUE(C26)&lt;='RFPR cover'!$C$7,"Actual","Forecast")</f>
        <v>Forecast</v>
      </c>
      <c r="E26" s="522">
        <f t="shared" si="0"/>
        <v>307.85209754743033</v>
      </c>
      <c r="F26" s="522">
        <f t="shared" si="0"/>
        <v>311.48362828430857</v>
      </c>
      <c r="G26" s="173">
        <v>0.17</v>
      </c>
      <c r="H26" s="873"/>
      <c r="J26" s="874"/>
    </row>
    <row r="27" spans="2:10">
      <c r="B27" s="523" t="s">
        <v>68</v>
      </c>
      <c r="C27" s="524">
        <v>2023</v>
      </c>
      <c r="D27" s="172" t="str">
        <f>IF(VALUE(C27)&lt;='RFPR cover'!$C$7,"Actual","Forecast")</f>
        <v>Forecast</v>
      </c>
      <c r="E27" s="522">
        <f t="shared" si="0"/>
        <v>317.31854954701384</v>
      </c>
      <c r="F27" s="522">
        <f t="shared" si="0"/>
        <v>321.06174985405107</v>
      </c>
      <c r="G27" s="173">
        <v>0.17</v>
      </c>
      <c r="H27" s="873"/>
      <c r="J27" s="874"/>
    </row>
    <row r="28" spans="2:10">
      <c r="B28" s="523" t="s">
        <v>205</v>
      </c>
      <c r="C28" s="524">
        <v>2024</v>
      </c>
      <c r="D28" s="172" t="str">
        <f>IF(VALUE(C28)&lt;='RFPR cover'!$C$7,"Actual","Forecast")</f>
        <v>Forecast</v>
      </c>
      <c r="E28" s="393"/>
      <c r="F28" s="393"/>
      <c r="G28" s="173">
        <v>0.17</v>
      </c>
    </row>
    <row r="29" spans="2:10">
      <c r="B29" s="523" t="s">
        <v>206</v>
      </c>
      <c r="C29" s="524">
        <v>2025</v>
      </c>
      <c r="D29" s="172" t="str">
        <f>IF(VALUE(C29)&lt;='RFPR cover'!$C$7,"Actual","Forecast")</f>
        <v>Forecast</v>
      </c>
      <c r="E29" s="393"/>
      <c r="F29" s="393"/>
      <c r="G29" s="173">
        <v>0.17</v>
      </c>
    </row>
    <row r="30" spans="2:10">
      <c r="B30" s="525" t="s">
        <v>207</v>
      </c>
      <c r="C30" s="526">
        <v>2026</v>
      </c>
      <c r="D30" s="174" t="str">
        <f>IF(VALUE(C30)&lt;='RFPR cover'!$C$7,"Actual","Forecast")</f>
        <v>Forecast</v>
      </c>
      <c r="E30" s="392"/>
      <c r="F30" s="392"/>
      <c r="G30" s="175">
        <v>0.17</v>
      </c>
    </row>
    <row r="31" spans="2:10">
      <c r="B31" s="88"/>
      <c r="C31" s="66"/>
      <c r="D31" s="66"/>
      <c r="E31" s="66"/>
      <c r="F31" s="66"/>
    </row>
    <row r="32" spans="2:10">
      <c r="B32" s="88"/>
      <c r="C32" s="358" t="str">
        <f>IF(C33&lt;='RFPR cover'!$C$7,"Actuals","Forecast")</f>
        <v>Actuals</v>
      </c>
      <c r="D32" s="359" t="str">
        <f>IF(D33&lt;='RFPR cover'!$C$7,"Actuals","Forecast")</f>
        <v>Actuals</v>
      </c>
      <c r="E32" s="359" t="str">
        <f>IF(E33&lt;='RFPR cover'!$C$7,"Actuals","Forecast")</f>
        <v>Actuals</v>
      </c>
      <c r="F32" s="359" t="str">
        <f>IF(F33&lt;='RFPR cover'!$C$7,"Actuals","Forecast")</f>
        <v>Actuals</v>
      </c>
      <c r="G32" s="359" t="str">
        <f>IF(G33&lt;='RFPR cover'!$C$7,"Actuals","Forecast")</f>
        <v>Forecast</v>
      </c>
      <c r="H32" s="359" t="str">
        <f>IF(H33&lt;='RFPR cover'!$C$7,"Actuals","Forecast")</f>
        <v>Forecast</v>
      </c>
      <c r="I32" s="359" t="str">
        <f>IF(I33&lt;='RFPR cover'!$C$7,"Actuals","Forecast")</f>
        <v>Forecast</v>
      </c>
      <c r="J32" s="360" t="str">
        <f>IF(J33&lt;='RFPR cover'!$C$7,"Actuals","Forecast")</f>
        <v>Forecast</v>
      </c>
    </row>
    <row r="33" spans="2:13" ht="15.75" customHeight="1">
      <c r="B33" s="300"/>
      <c r="C33" s="90">
        <f>'RFPR cover'!$C$13</f>
        <v>2016</v>
      </c>
      <c r="D33" s="91">
        <f t="shared" ref="D33:J33" si="1">C33+1</f>
        <v>2017</v>
      </c>
      <c r="E33" s="91">
        <f t="shared" si="1"/>
        <v>2018</v>
      </c>
      <c r="F33" s="91">
        <f t="shared" si="1"/>
        <v>2019</v>
      </c>
      <c r="G33" s="91">
        <f t="shared" si="1"/>
        <v>2020</v>
      </c>
      <c r="H33" s="91">
        <f t="shared" si="1"/>
        <v>2021</v>
      </c>
      <c r="I33" s="91">
        <f t="shared" si="1"/>
        <v>2022</v>
      </c>
      <c r="J33" s="331">
        <f t="shared" si="1"/>
        <v>2023</v>
      </c>
    </row>
    <row r="34" spans="2:13" ht="15.75" customHeight="1">
      <c r="B34" s="518" t="s">
        <v>372</v>
      </c>
      <c r="C34" s="516">
        <f>INDEX(Data!$E$14:$E$30,MATCH(C$33,Data!$C$14:$C$30,0),0)/IF('RFPR cover'!$C$6="ED1",Data!$E$17,Data!$E$14)</f>
        <v>1.0603167467048125</v>
      </c>
      <c r="D34" s="513">
        <f>INDEX(Data!$E$14:$E$30,MATCH(D$33,Data!$C$14:$C$30,0),0)/IF('RFPR cover'!$C$6="ED1",Data!$E$17,Data!$E$14)</f>
        <v>1.0830366813119445</v>
      </c>
      <c r="E34" s="513">
        <f>INDEX(Data!$E$14:$E$30,MATCH(E$33,Data!$C$14:$C$30,0),0)/IF('RFPR cover'!$C$6="ED1",Data!$E$17,Data!$E$14)</f>
        <v>1.1235639113109226</v>
      </c>
      <c r="F34" s="513">
        <f>INDEX(Data!$E$14:$E$30,MATCH(F$33,Data!$C$14:$C$30,0),0)/IF('RFPR cover'!$C$6="ED1",Data!$E$17,Data!$E$14)</f>
        <v>1.1578951670583426</v>
      </c>
      <c r="G34" s="513">
        <f>INDEX(Data!$E$14:$E$30,MATCH(G$33,Data!$C$14:$C$30,0),0)/IF('RFPR cover'!$C$6="ED1",Data!$E$17,Data!$E$14)</f>
        <v>1.1882899151936241</v>
      </c>
      <c r="H34" s="513">
        <f>INDEX(Data!$E$14:$E$30,MATCH(H$33,Data!$C$14:$C$30,0),0)/IF('RFPR cover'!$C$6="ED1",Data!$E$17,Data!$E$14)</f>
        <v>1.2212649603402472</v>
      </c>
      <c r="I34" s="514">
        <f>INDEX(Data!$E$14:$E$30,MATCH(I$33,Data!$C$14:$C$30,0),0)/IF('RFPR cover'!$C$6="ED1",Data!$E$17,Data!$E$14)</f>
        <v>1.2582082253905398</v>
      </c>
      <c r="J34" s="515">
        <f>INDEX(Data!$E$14:$E$30,MATCH(J$33,Data!$C$14:$C$30,0),0)/IF('RFPR cover'!$C$6="ED1",Data!$E$17,Data!$E$14)</f>
        <v>1.296898128321299</v>
      </c>
    </row>
    <row r="35" spans="2:13" ht="15.75" customHeight="1">
      <c r="B35" s="519" t="s">
        <v>42</v>
      </c>
      <c r="C35" s="517">
        <f>INDEX(Data!$F$14:$F$30,MATCH(C$33,Data!$C$14:$C$30,0),0)/IF('RFPR cover'!$C$6="ED1",Data!$E$17,Data!$E$14)</f>
        <v>1.0677429242873198</v>
      </c>
      <c r="D35" s="517">
        <f>INDEX(Data!$F$14:$F$30,MATCH(D$33,Data!$C$14:$C$30,0),0)/IF('RFPR cover'!$C$6="ED1",Data!$E$17,Data!$E$14)</f>
        <v>1.1033002963114336</v>
      </c>
      <c r="E35" s="517">
        <f>INDEX(Data!$F$14:$F$30,MATCH(E$33,Data!$C$14:$C$30,0),0)/IF('RFPR cover'!$C$6="ED1",Data!$E$17,Data!$E$14)</f>
        <v>1.1402881373250229</v>
      </c>
      <c r="F35" s="517">
        <f>INDEX(Data!$F$14:$F$30,MATCH(F$33,Data!$C$14:$C$30,0),0)/IF('RFPR cover'!$C$6="ED1",Data!$E$17,Data!$E$14)</f>
        <v>1.171554102380709</v>
      </c>
      <c r="G35" s="517">
        <f>INDEX(Data!$F$14:$F$30,MATCH(G$33,Data!$C$14:$C$30,0),0)/IF('RFPR cover'!$C$6="ED1",Data!$E$17,Data!$E$14)</f>
        <v>1.2023073975682026</v>
      </c>
      <c r="H35" s="517">
        <f>INDEX(Data!$F$14:$F$30,MATCH(H$33,Data!$C$14:$C$30,0),0)/IF('RFPR cover'!$C$6="ED1",Data!$E$17,Data!$E$14)</f>
        <v>1.2356714278507201</v>
      </c>
      <c r="I35" s="517">
        <f>INDEX(Data!$F$14:$F$30,MATCH(I$33,Data!$C$14:$C$30,0),0)/IF('RFPR cover'!$C$6="ED1",Data!$E$17,Data!$E$14)</f>
        <v>1.2730504885432044</v>
      </c>
      <c r="J35" s="517">
        <f>INDEX(Data!$F$14:$F$30,MATCH(J$33,Data!$C$14:$C$30,0),0)/IF('RFPR cover'!$C$6="ED1",Data!$E$17,Data!$E$14)</f>
        <v>1.312196791065908</v>
      </c>
    </row>
    <row r="36" spans="2:13">
      <c r="B36" s="519" t="s">
        <v>502</v>
      </c>
      <c r="C36" s="517">
        <f>INDEX(Data!$E$14:$E$30,MATCH(C$33,Data!$C$14:$C$30,0))/INDEX(Data!$E$14:$E$30,MATCH(C$33-1,Data!$C$14:$C$30,0))</f>
        <v>1.0107766093810269</v>
      </c>
      <c r="D36" s="517">
        <f>INDEX(Data!$E$14:$E$30,MATCH(D$33,Data!$C$14:$C$30,0))/INDEX(Data!$E$14:$E$30,MATCH(D$33-1,Data!$C$14:$C$30,0))</f>
        <v>1.0214274976583551</v>
      </c>
      <c r="E36" s="517">
        <f>INDEX(Data!$E$14:$E$30,MATCH(E$33,Data!$C$14:$C$30,0))/INDEX(Data!$E$14:$E$30,MATCH(E$33-1,Data!$C$14:$C$30,0))</f>
        <v>1.0374199975848328</v>
      </c>
      <c r="F36" s="517">
        <f>INDEX(Data!$E$14:$E$30,MATCH(F$33,Data!$C$14:$C$30,0))/INDEX(Data!$E$14:$E$30,MATCH(F$33-1,Data!$C$14:$C$30,0))</f>
        <v>1.0305556768082411</v>
      </c>
      <c r="G36" s="517">
        <f>INDEX(Data!$E$14:$E$30,MATCH(G$33,Data!$C$14:$C$30,0))/INDEX(Data!$E$14:$E$30,MATCH(G$33-1,Data!$C$14:$C$30,0))</f>
        <v>1.0262500000000001</v>
      </c>
      <c r="H36" s="517">
        <f>INDEX(Data!$E$14:$E$30,MATCH(H$33,Data!$C$14:$C$30,0))/INDEX(Data!$E$14:$E$30,MATCH(H$33-1,Data!$C$14:$C$30,0))</f>
        <v>1.0277499999999999</v>
      </c>
      <c r="I36" s="517">
        <f>INDEX(Data!$E$14:$E$30,MATCH(I$33,Data!$C$14:$C$30,0))/INDEX(Data!$E$14:$E$30,MATCH(I$33-1,Data!$C$14:$C$30,0))</f>
        <v>1.0302500000000001</v>
      </c>
      <c r="J36" s="517">
        <f>INDEX(Data!$E$14:$E$30,MATCH(J$33,Data!$C$14:$C$30,0))/INDEX(Data!$E$14:$E$30,MATCH(J$33-1,Data!$C$14:$C$30,0))</f>
        <v>1.0307500000000001</v>
      </c>
    </row>
    <row r="37" spans="2:13" ht="15.75" customHeight="1">
      <c r="B37" s="14" t="s">
        <v>275</v>
      </c>
      <c r="F37" s="540"/>
    </row>
    <row r="38" spans="2:13">
      <c r="C38" s="533" t="s">
        <v>276</v>
      </c>
      <c r="D38" s="117">
        <v>2017</v>
      </c>
      <c r="E38" s="118">
        <f t="shared" ref="E38:J38" si="2">D38+1</f>
        <v>2018</v>
      </c>
      <c r="F38" s="118">
        <f t="shared" si="2"/>
        <v>2019</v>
      </c>
      <c r="G38" s="118">
        <f t="shared" si="2"/>
        <v>2020</v>
      </c>
      <c r="H38" s="118">
        <f t="shared" si="2"/>
        <v>2021</v>
      </c>
      <c r="I38" s="118">
        <f t="shared" si="2"/>
        <v>2022</v>
      </c>
      <c r="J38" s="202">
        <f t="shared" si="2"/>
        <v>2023</v>
      </c>
      <c r="K38" s="963" t="s">
        <v>382</v>
      </c>
      <c r="L38" s="963"/>
      <c r="M38" s="963"/>
    </row>
    <row r="39" spans="2:13">
      <c r="B39" t="s">
        <v>383</v>
      </c>
      <c r="C39" s="208"/>
      <c r="D39" s="790"/>
      <c r="E39" s="790"/>
      <c r="F39" s="791">
        <v>2.5999999999999999E-2</v>
      </c>
      <c r="G39" s="791">
        <v>2.7E-2</v>
      </c>
      <c r="H39" s="791">
        <v>0.03</v>
      </c>
      <c r="I39" s="791">
        <v>3.1E-2</v>
      </c>
      <c r="J39" s="792">
        <v>0.03</v>
      </c>
      <c r="K39" s="964" t="s">
        <v>540</v>
      </c>
      <c r="L39" s="965"/>
      <c r="M39" s="966"/>
    </row>
    <row r="41" spans="2:13">
      <c r="B41" s="14" t="s">
        <v>277</v>
      </c>
    </row>
    <row r="42" spans="2:13">
      <c r="C42" s="532" t="s">
        <v>278</v>
      </c>
      <c r="D42" s="117">
        <v>2017</v>
      </c>
      <c r="E42" s="118">
        <f t="shared" ref="E42:J42" si="3">D42+1</f>
        <v>2018</v>
      </c>
      <c r="F42" s="118">
        <f t="shared" si="3"/>
        <v>2019</v>
      </c>
      <c r="G42" s="118">
        <f t="shared" si="3"/>
        <v>2020</v>
      </c>
      <c r="H42" s="118">
        <f t="shared" si="3"/>
        <v>2021</v>
      </c>
      <c r="I42" s="118">
        <f t="shared" si="3"/>
        <v>2022</v>
      </c>
      <c r="J42" s="202">
        <f t="shared" si="3"/>
        <v>2023</v>
      </c>
    </row>
    <row r="43" spans="2:13">
      <c r="B43" t="s">
        <v>279</v>
      </c>
      <c r="D43" s="594"/>
      <c r="E43" s="595"/>
      <c r="F43" s="595"/>
      <c r="G43" s="793">
        <f>(F39*0.75)+(G39*0.25)</f>
        <v>2.6249999999999999E-2</v>
      </c>
      <c r="H43" s="793">
        <f>(G39*0.75)+(H39*0.25)</f>
        <v>2.775E-2</v>
      </c>
      <c r="I43" s="793">
        <f>(H39*0.75)+(I39*0.25)</f>
        <v>3.0249999999999999E-2</v>
      </c>
      <c r="J43" s="794">
        <f>(I39*0.75)+(J39*0.25)</f>
        <v>3.075E-2</v>
      </c>
    </row>
    <row r="45" spans="2:13">
      <c r="B45" s="330" t="str">
        <f>"Selected Capitalisation rates for "&amp;'RFPR cover'!C5</f>
        <v>Selected Capitalisation rates for SPD</v>
      </c>
      <c r="C45" s="281"/>
      <c r="D45" s="281"/>
      <c r="E45" s="281"/>
      <c r="F45" s="281"/>
      <c r="G45" s="281"/>
      <c r="H45" s="281"/>
      <c r="I45" s="281"/>
      <c r="J45" s="281"/>
      <c r="K45" s="281"/>
      <c r="L45" s="281"/>
      <c r="M45" s="295"/>
    </row>
    <row r="46" spans="2:13">
      <c r="B46" s="209"/>
      <c r="C46" s="43"/>
      <c r="D46" s="43"/>
      <c r="E46" s="43"/>
      <c r="F46" s="43"/>
      <c r="G46" s="43"/>
      <c r="H46" s="43"/>
      <c r="I46" s="43"/>
      <c r="J46" s="43"/>
      <c r="K46" s="43"/>
      <c r="L46" s="43"/>
      <c r="M46" s="210"/>
    </row>
    <row r="47" spans="2:13">
      <c r="B47" s="209"/>
      <c r="C47" s="329" t="s">
        <v>252</v>
      </c>
      <c r="D47" s="43"/>
      <c r="E47" s="43"/>
      <c r="F47" s="43"/>
      <c r="G47" s="43"/>
      <c r="H47" s="43"/>
      <c r="I47" s="43"/>
      <c r="J47" s="43"/>
      <c r="K47" s="43"/>
      <c r="L47" s="43"/>
      <c r="M47" s="210"/>
    </row>
    <row r="48" spans="2:13">
      <c r="B48" s="332" t="str">
        <f>INDEX($G$54:$G$57,MATCH(LEFT('RFPR cover'!$C$6,2),Data!$E$54:$E$57,0),0)</f>
        <v>Totex</v>
      </c>
      <c r="C48" s="328">
        <f>INDEX($F$73:$F$100,MATCH('RFPR cover'!$C$5,Data!$B$73:$B$100,0),0)</f>
        <v>0.8</v>
      </c>
      <c r="D48" s="43"/>
      <c r="E48" s="43"/>
      <c r="F48" s="43"/>
      <c r="G48" s="43"/>
      <c r="H48" s="43"/>
      <c r="I48" s="43"/>
      <c r="J48" s="43"/>
      <c r="K48" s="43"/>
      <c r="L48" s="43"/>
      <c r="M48" s="210"/>
    </row>
    <row r="49" spans="2:20">
      <c r="B49" s="333"/>
      <c r="C49" s="43"/>
      <c r="D49" s="43"/>
      <c r="E49" s="43"/>
      <c r="F49" s="43"/>
      <c r="G49" s="43"/>
      <c r="H49" s="43"/>
      <c r="I49" s="43"/>
      <c r="J49" s="43"/>
      <c r="K49" s="43"/>
      <c r="L49" s="43"/>
      <c r="M49" s="210"/>
    </row>
    <row r="50" spans="2:20">
      <c r="B50" s="333"/>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3"/>
      <c r="L50" s="43"/>
    </row>
    <row r="51" spans="2:20">
      <c r="B51" s="332" t="str">
        <f>INDEX($J$54:$J$57,MATCH(LEFT('RFPR cover'!$C$6,2),Data!$E$54:$E$57,0),0)</f>
        <v>n/a</v>
      </c>
      <c r="C51" s="334">
        <f>IFERROR(INDEX(C$106:C$115,MATCH('RFPR cover'!$C$5,Data!$B$106:$B$115,0),0),0)</f>
        <v>0</v>
      </c>
      <c r="D51" s="316">
        <f>IFERROR(INDEX(D$106:D$115,MATCH('RFPR cover'!$C$5,Data!$B$106:$B$115,0),0),0)</f>
        <v>0</v>
      </c>
      <c r="E51" s="316">
        <f>IFERROR(INDEX(E$106:E$115,MATCH('RFPR cover'!$C$5,Data!$B$106:$B$115,0),0),0)</f>
        <v>0</v>
      </c>
      <c r="F51" s="316">
        <f>IFERROR(INDEX(F$106:F$115,MATCH('RFPR cover'!$C$5,Data!$B$106:$B$115,0),0),0)</f>
        <v>0</v>
      </c>
      <c r="G51" s="316">
        <f>IFERROR(INDEX(G$106:G$115,MATCH('RFPR cover'!$C$5,Data!$B$106:$B$115,0),0),0)</f>
        <v>0</v>
      </c>
      <c r="H51" s="316">
        <f>IFERROR(INDEX(H$106:H$115,MATCH('RFPR cover'!$C$5,Data!$B$106:$B$115,0),0),0)</f>
        <v>0</v>
      </c>
      <c r="I51" s="316">
        <f>IFERROR(INDEX(I$106:I$115,MATCH('RFPR cover'!$C$5,Data!$B$106:$B$115,0),0),0)</f>
        <v>0</v>
      </c>
      <c r="J51" s="316">
        <f>IFERROR(INDEX(J$106:J$115,MATCH('RFPR cover'!$C$5,Data!$B$106:$B$115,0),0),0)</f>
        <v>0</v>
      </c>
      <c r="K51" s="43"/>
      <c r="L51" s="43"/>
    </row>
    <row r="52" spans="2:20">
      <c r="B52" s="306"/>
      <c r="C52" s="307"/>
      <c r="D52" s="307"/>
      <c r="E52" s="307"/>
      <c r="F52" s="307"/>
      <c r="G52" s="307"/>
      <c r="H52" s="307"/>
      <c r="I52" s="307"/>
      <c r="J52" s="307"/>
      <c r="K52" s="307"/>
      <c r="L52" s="307"/>
      <c r="M52" s="308"/>
    </row>
    <row r="53" spans="2:20">
      <c r="B53" s="43"/>
      <c r="C53" s="43"/>
      <c r="D53" s="43"/>
      <c r="E53" s="43"/>
      <c r="F53" s="43"/>
      <c r="G53" s="43"/>
      <c r="H53" s="43"/>
      <c r="I53" s="43"/>
      <c r="J53" s="43"/>
      <c r="K53" s="43"/>
    </row>
    <row r="54" spans="2:20">
      <c r="B54" s="320"/>
      <c r="C54" s="320"/>
      <c r="E54" s="317" t="s">
        <v>172</v>
      </c>
      <c r="F54" s="346" t="s">
        <v>159</v>
      </c>
      <c r="G54" s="970" t="s">
        <v>253</v>
      </c>
      <c r="H54" s="971"/>
      <c r="I54" s="972"/>
      <c r="J54" s="979" t="s">
        <v>255</v>
      </c>
      <c r="K54" s="980"/>
    </row>
    <row r="55" spans="2:20">
      <c r="B55" s="320"/>
      <c r="C55" s="320"/>
      <c r="E55" s="318" t="s">
        <v>174</v>
      </c>
      <c r="F55" s="347" t="s">
        <v>184</v>
      </c>
      <c r="G55" s="973" t="s">
        <v>253</v>
      </c>
      <c r="H55" s="974"/>
      <c r="I55" s="975"/>
      <c r="J55" s="981" t="s">
        <v>255</v>
      </c>
      <c r="K55" s="982"/>
    </row>
    <row r="56" spans="2:20">
      <c r="B56" s="320"/>
      <c r="C56" s="320"/>
      <c r="E56" s="318" t="s">
        <v>173</v>
      </c>
      <c r="F56" s="347" t="s">
        <v>184</v>
      </c>
      <c r="G56" s="973" t="s">
        <v>244</v>
      </c>
      <c r="H56" s="974"/>
      <c r="I56" s="975"/>
      <c r="J56" s="981" t="s">
        <v>245</v>
      </c>
      <c r="K56" s="982"/>
    </row>
    <row r="57" spans="2:20">
      <c r="B57" s="320"/>
      <c r="C57" s="320"/>
      <c r="E57" s="319" t="s">
        <v>175</v>
      </c>
      <c r="F57" s="348" t="s">
        <v>184</v>
      </c>
      <c r="G57" s="976" t="s">
        <v>254</v>
      </c>
      <c r="H57" s="977"/>
      <c r="I57" s="978"/>
      <c r="J57" s="983" t="s">
        <v>256</v>
      </c>
      <c r="K57" s="984"/>
    </row>
    <row r="58" spans="2:20">
      <c r="B58" s="320"/>
      <c r="C58" s="320"/>
      <c r="E58" s="320"/>
      <c r="F58" s="467"/>
      <c r="G58" s="468"/>
      <c r="H58" s="468"/>
      <c r="I58" s="468"/>
      <c r="J58" s="469"/>
      <c r="K58" s="469"/>
    </row>
    <row r="59" spans="2:20">
      <c r="B59" s="470"/>
      <c r="C59" s="470"/>
      <c r="D59" s="223"/>
      <c r="E59" s="470"/>
      <c r="F59" s="471"/>
      <c r="G59" s="472"/>
      <c r="H59" s="472"/>
      <c r="I59" s="472"/>
      <c r="J59" s="473"/>
      <c r="K59" s="473"/>
      <c r="L59" s="223"/>
      <c r="M59" s="223"/>
      <c r="N59" s="223"/>
      <c r="O59" s="223"/>
      <c r="P59" s="223"/>
      <c r="Q59" s="223"/>
      <c r="R59" s="223"/>
      <c r="S59" s="223"/>
      <c r="T59" s="223"/>
    </row>
    <row r="60" spans="2:20" s="32" customFormat="1">
      <c r="B60" s="419"/>
      <c r="C60" s="419"/>
      <c r="E60" s="419"/>
      <c r="F60" s="474"/>
      <c r="G60" s="475"/>
      <c r="H60" s="475"/>
      <c r="I60" s="475"/>
      <c r="J60" s="476"/>
      <c r="K60" s="476"/>
    </row>
    <row r="61" spans="2:20">
      <c r="B61" s="466" t="s">
        <v>352</v>
      </c>
      <c r="I61" s="66"/>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202">
        <f t="shared" si="5"/>
        <v>2023</v>
      </c>
    </row>
    <row r="63" spans="2:20">
      <c r="B63" s="463" t="s">
        <v>350</v>
      </c>
      <c r="C63" s="590"/>
      <c r="D63" s="591"/>
      <c r="E63" s="461">
        <v>2.5499999999999998E-2</v>
      </c>
      <c r="F63" s="461">
        <v>2.3799999999999998E-2</v>
      </c>
      <c r="G63" s="461">
        <v>2.2200000000000001E-2</v>
      </c>
      <c r="H63" s="461">
        <v>1.9099999999999999E-2</v>
      </c>
      <c r="I63" s="461">
        <v>1.5800000000000002E-2</v>
      </c>
      <c r="J63" s="461">
        <v>1.1399999999999999E-2</v>
      </c>
      <c r="K63" s="461">
        <v>9.1999999999999998E-3</v>
      </c>
      <c r="L63" s="462">
        <v>7.1999999999999998E-3</v>
      </c>
    </row>
    <row r="64" spans="2:20">
      <c r="B64" s="464" t="s">
        <v>337</v>
      </c>
      <c r="C64" s="578"/>
      <c r="D64" s="579"/>
      <c r="E64" s="421">
        <v>2.5499999999999998E-2</v>
      </c>
      <c r="F64" s="421">
        <v>2.4199999999999999E-2</v>
      </c>
      <c r="G64" s="421">
        <v>2.29E-2</v>
      </c>
      <c r="H64" s="421">
        <v>2.0899999999999998E-2</v>
      </c>
      <c r="I64" s="421">
        <v>1.9400000000000001E-2</v>
      </c>
      <c r="J64" s="421">
        <v>1.8200000000000001E-2</v>
      </c>
      <c r="K64" s="421">
        <v>1.72E-2</v>
      </c>
      <c r="L64" s="424">
        <v>1.6299999999999999E-2</v>
      </c>
    </row>
    <row r="65" spans="1:20">
      <c r="B65" s="464" t="s">
        <v>61</v>
      </c>
      <c r="C65" s="420">
        <v>2.92E-2</v>
      </c>
      <c r="D65" s="421">
        <v>2.5000000000000001E-2</v>
      </c>
      <c r="E65" s="421">
        <v>2.1499999999999998E-2</v>
      </c>
      <c r="F65" s="421">
        <v>1.7899999999999999E-2</v>
      </c>
      <c r="G65" s="421">
        <v>1.5100000000000001E-2</v>
      </c>
      <c r="H65" s="421">
        <v>1.1599999999999999E-2</v>
      </c>
      <c r="I65" s="421">
        <v>1.0200000000000001E-2</v>
      </c>
      <c r="J65" s="421">
        <v>8.6E-3</v>
      </c>
      <c r="K65" s="592"/>
      <c r="L65" s="593"/>
    </row>
    <row r="66" spans="1:20">
      <c r="B66" s="464" t="s">
        <v>351</v>
      </c>
      <c r="C66" s="459">
        <v>2.92E-2</v>
      </c>
      <c r="D66" s="460">
        <v>2.7199999999999998E-2</v>
      </c>
      <c r="E66" s="460">
        <v>2.5499999999999998E-2</v>
      </c>
      <c r="F66" s="460">
        <v>2.3800000000000002E-2</v>
      </c>
      <c r="G66" s="460">
        <v>2.2200000000000001E-2</v>
      </c>
      <c r="H66" s="460">
        <v>1.9099999999999999E-2</v>
      </c>
      <c r="I66" s="460">
        <v>1.5800000000000002E-2</v>
      </c>
      <c r="J66" s="460">
        <v>1.1399999999999999E-2</v>
      </c>
      <c r="K66" s="579"/>
      <c r="L66" s="580"/>
    </row>
    <row r="67" spans="1:20">
      <c r="B67" s="464" t="s">
        <v>173</v>
      </c>
      <c r="C67" s="420">
        <v>2.92E-2</v>
      </c>
      <c r="D67" s="421">
        <v>2.7199999999999998E-2</v>
      </c>
      <c r="E67" s="421">
        <v>2.5499999999999998E-2</v>
      </c>
      <c r="F67" s="421">
        <v>2.3800000000000002E-2</v>
      </c>
      <c r="G67" s="421">
        <v>2.2200000000000001E-2</v>
      </c>
      <c r="H67" s="460">
        <v>1.9099999999999999E-2</v>
      </c>
      <c r="I67" s="460">
        <v>1.5800000000000002E-2</v>
      </c>
      <c r="J67" s="460">
        <v>1.1399999999999999E-2</v>
      </c>
      <c r="K67" s="579"/>
      <c r="L67" s="580"/>
    </row>
    <row r="68" spans="1:20">
      <c r="B68" s="465" t="s">
        <v>175</v>
      </c>
      <c r="C68" s="422">
        <v>2.92E-2</v>
      </c>
      <c r="D68" s="423">
        <v>2.7199999999999998E-2</v>
      </c>
      <c r="E68" s="423">
        <v>2.5499999999999998E-2</v>
      </c>
      <c r="F68" s="423">
        <v>2.3800000000000002E-2</v>
      </c>
      <c r="G68" s="423">
        <v>2.2200000000000001E-2</v>
      </c>
      <c r="H68" s="423">
        <v>1.9099999999999999E-2</v>
      </c>
      <c r="I68" s="423">
        <v>1.5800000000000002E-2</v>
      </c>
      <c r="J68" s="423">
        <v>1.1399999999999999E-2</v>
      </c>
      <c r="K68" s="581"/>
      <c r="L68" s="582"/>
    </row>
    <row r="69" spans="1:20">
      <c r="I69" s="66"/>
    </row>
    <row r="70" spans="1:20">
      <c r="H70" s="66"/>
      <c r="K70" s="43"/>
      <c r="L70" s="43"/>
      <c r="M70" s="43"/>
      <c r="N70" s="43"/>
      <c r="O70" s="43"/>
      <c r="P70" s="43"/>
      <c r="Q70" s="43"/>
      <c r="R70" s="43"/>
      <c r="S70" s="43"/>
      <c r="T70" s="43"/>
    </row>
    <row r="71" spans="1:20" ht="38.25">
      <c r="B71" s="22"/>
      <c r="C71" s="73" t="s">
        <v>251</v>
      </c>
      <c r="D71" s="74" t="s">
        <v>212</v>
      </c>
      <c r="E71" s="74" t="s">
        <v>72</v>
      </c>
      <c r="F71" s="74" t="s">
        <v>274</v>
      </c>
      <c r="G71" s="74" t="s">
        <v>116</v>
      </c>
      <c r="H71" s="75" t="s">
        <v>186</v>
      </c>
      <c r="I71" s="345" t="s">
        <v>269</v>
      </c>
      <c r="J71" s="345" t="s">
        <v>479</v>
      </c>
      <c r="K71" s="967" t="s">
        <v>346</v>
      </c>
      <c r="L71" s="968"/>
      <c r="M71" s="968"/>
      <c r="N71" s="968"/>
      <c r="O71" s="968"/>
      <c r="P71" s="968"/>
      <c r="Q71" s="968"/>
      <c r="R71" s="968"/>
      <c r="S71" s="968"/>
      <c r="T71" s="969"/>
    </row>
    <row r="72" spans="1:20">
      <c r="A72" s="349" t="s">
        <v>189</v>
      </c>
      <c r="B72" s="67" t="s">
        <v>69</v>
      </c>
      <c r="C72" s="321"/>
      <c r="D72" s="69"/>
      <c r="E72" s="68"/>
      <c r="F72" s="68"/>
      <c r="G72" s="69"/>
      <c r="H72" s="70"/>
      <c r="I72" s="70"/>
      <c r="J72" s="446"/>
      <c r="K72" s="447">
        <v>2014</v>
      </c>
      <c r="L72" s="448">
        <f t="shared" ref="L72:T72" si="6">K72+1</f>
        <v>2015</v>
      </c>
      <c r="M72" s="448">
        <f t="shared" si="6"/>
        <v>2016</v>
      </c>
      <c r="N72" s="448">
        <f t="shared" si="6"/>
        <v>2017</v>
      </c>
      <c r="O72" s="448">
        <f t="shared" si="6"/>
        <v>2018</v>
      </c>
      <c r="P72" s="448">
        <f t="shared" si="6"/>
        <v>2019</v>
      </c>
      <c r="Q72" s="448">
        <f t="shared" si="6"/>
        <v>2020</v>
      </c>
      <c r="R72" s="448">
        <f t="shared" si="6"/>
        <v>2021</v>
      </c>
      <c r="S72" s="448">
        <f t="shared" si="6"/>
        <v>2022</v>
      </c>
      <c r="T72" s="449">
        <f t="shared" si="6"/>
        <v>2023</v>
      </c>
    </row>
    <row r="73" spans="1:20">
      <c r="A73" s="60" t="s">
        <v>172</v>
      </c>
      <c r="B73" s="71" t="s">
        <v>43</v>
      </c>
      <c r="C73" s="322">
        <v>0.06</v>
      </c>
      <c r="D73" s="323">
        <v>0.58109999999999995</v>
      </c>
      <c r="E73" s="324">
        <v>0.65</v>
      </c>
      <c r="F73" s="324">
        <v>0.68</v>
      </c>
      <c r="G73" s="355">
        <v>2016</v>
      </c>
      <c r="H73" s="356" t="str">
        <f t="shared" ref="H73:H97" si="7">VLOOKUP($A73,$E$54:$F$57,2,FALSE)</f>
        <v>£m 12/13</v>
      </c>
      <c r="I73" s="356" t="s">
        <v>270</v>
      </c>
      <c r="J73" s="446" t="s">
        <v>480</v>
      </c>
      <c r="K73" s="578"/>
      <c r="L73" s="579"/>
      <c r="M73" s="454">
        <f t="shared" ref="M73:M82" si="8">E$64</f>
        <v>2.5499999999999998E-2</v>
      </c>
      <c r="N73" s="454">
        <f t="shared" ref="N73:N82" si="9">F$64</f>
        <v>2.4199999999999999E-2</v>
      </c>
      <c r="O73" s="454">
        <f t="shared" ref="O73:O82" si="10">G$64</f>
        <v>2.29E-2</v>
      </c>
      <c r="P73" s="454">
        <f t="shared" ref="P73:P82" si="11">H$64</f>
        <v>2.0899999999999998E-2</v>
      </c>
      <c r="Q73" s="454">
        <f t="shared" ref="Q73:Q82" si="12">I$64</f>
        <v>1.9400000000000001E-2</v>
      </c>
      <c r="R73" s="454">
        <f t="shared" ref="R73:R82" si="13">J$64</f>
        <v>1.8200000000000001E-2</v>
      </c>
      <c r="S73" s="454">
        <f t="shared" ref="S73:S82" si="14">K$64</f>
        <v>1.72E-2</v>
      </c>
      <c r="T73" s="458">
        <f t="shared" ref="T73:T82" si="15">L$64</f>
        <v>1.6299999999999999E-2</v>
      </c>
    </row>
    <row r="74" spans="1:20">
      <c r="A74" s="60" t="s">
        <v>172</v>
      </c>
      <c r="B74" s="71" t="s">
        <v>44</v>
      </c>
      <c r="C74" s="322">
        <v>0.06</v>
      </c>
      <c r="D74" s="323">
        <v>0.55843703457782867</v>
      </c>
      <c r="E74" s="324">
        <v>0.65</v>
      </c>
      <c r="F74" s="324">
        <v>0.7</v>
      </c>
      <c r="G74" s="355">
        <v>2016</v>
      </c>
      <c r="H74" s="356" t="str">
        <f t="shared" si="7"/>
        <v>£m 12/13</v>
      </c>
      <c r="I74" s="356" t="s">
        <v>270</v>
      </c>
      <c r="J74" s="446" t="s">
        <v>480</v>
      </c>
      <c r="K74" s="578"/>
      <c r="L74" s="579"/>
      <c r="M74" s="454">
        <f t="shared" si="8"/>
        <v>2.5499999999999998E-2</v>
      </c>
      <c r="N74" s="454">
        <f t="shared" si="9"/>
        <v>2.4199999999999999E-2</v>
      </c>
      <c r="O74" s="454">
        <f t="shared" si="10"/>
        <v>2.29E-2</v>
      </c>
      <c r="P74" s="454">
        <f t="shared" si="11"/>
        <v>2.0899999999999998E-2</v>
      </c>
      <c r="Q74" s="454">
        <f t="shared" si="12"/>
        <v>1.9400000000000001E-2</v>
      </c>
      <c r="R74" s="454">
        <f t="shared" si="13"/>
        <v>1.8200000000000001E-2</v>
      </c>
      <c r="S74" s="454">
        <f t="shared" si="14"/>
        <v>1.72E-2</v>
      </c>
      <c r="T74" s="458">
        <f t="shared" si="15"/>
        <v>1.6299999999999999E-2</v>
      </c>
    </row>
    <row r="75" spans="1:20">
      <c r="A75" s="60" t="s">
        <v>172</v>
      </c>
      <c r="B75" s="71" t="s">
        <v>73</v>
      </c>
      <c r="C75" s="322">
        <v>0.06</v>
      </c>
      <c r="D75" s="323">
        <v>0.55843703457782867</v>
      </c>
      <c r="E75" s="324">
        <v>0.65</v>
      </c>
      <c r="F75" s="324">
        <v>0.72</v>
      </c>
      <c r="G75" s="355">
        <v>2016</v>
      </c>
      <c r="H75" s="356" t="str">
        <f t="shared" si="7"/>
        <v>£m 12/13</v>
      </c>
      <c r="I75" s="356" t="s">
        <v>270</v>
      </c>
      <c r="J75" s="446" t="s">
        <v>480</v>
      </c>
      <c r="K75" s="578"/>
      <c r="L75" s="579"/>
      <c r="M75" s="454">
        <f t="shared" si="8"/>
        <v>2.5499999999999998E-2</v>
      </c>
      <c r="N75" s="454">
        <f t="shared" si="9"/>
        <v>2.4199999999999999E-2</v>
      </c>
      <c r="O75" s="454">
        <f t="shared" si="10"/>
        <v>2.29E-2</v>
      </c>
      <c r="P75" s="454">
        <f t="shared" si="11"/>
        <v>2.0899999999999998E-2</v>
      </c>
      <c r="Q75" s="454">
        <f t="shared" si="12"/>
        <v>1.9400000000000001E-2</v>
      </c>
      <c r="R75" s="454">
        <f t="shared" si="13"/>
        <v>1.8200000000000001E-2</v>
      </c>
      <c r="S75" s="454">
        <f t="shared" si="14"/>
        <v>1.72E-2</v>
      </c>
      <c r="T75" s="458">
        <f t="shared" si="15"/>
        <v>1.6299999999999999E-2</v>
      </c>
    </row>
    <row r="76" spans="1:20">
      <c r="A76" s="60" t="s">
        <v>172</v>
      </c>
      <c r="B76" s="71" t="s">
        <v>59</v>
      </c>
      <c r="C76" s="322">
        <v>0.06</v>
      </c>
      <c r="D76" s="323">
        <v>0.53280000000000005</v>
      </c>
      <c r="E76" s="324">
        <v>0.65</v>
      </c>
      <c r="F76" s="324">
        <v>0.68</v>
      </c>
      <c r="G76" s="355">
        <v>2016</v>
      </c>
      <c r="H76" s="356" t="str">
        <f t="shared" si="7"/>
        <v>£m 12/13</v>
      </c>
      <c r="I76" s="356" t="s">
        <v>270</v>
      </c>
      <c r="J76" s="446" t="s">
        <v>480</v>
      </c>
      <c r="K76" s="578"/>
      <c r="L76" s="579"/>
      <c r="M76" s="454">
        <f t="shared" si="8"/>
        <v>2.5499999999999998E-2</v>
      </c>
      <c r="N76" s="454">
        <f t="shared" si="9"/>
        <v>2.4199999999999999E-2</v>
      </c>
      <c r="O76" s="454">
        <f t="shared" si="10"/>
        <v>2.29E-2</v>
      </c>
      <c r="P76" s="454">
        <f t="shared" si="11"/>
        <v>2.0899999999999998E-2</v>
      </c>
      <c r="Q76" s="454">
        <f t="shared" si="12"/>
        <v>1.9400000000000001E-2</v>
      </c>
      <c r="R76" s="454">
        <f t="shared" si="13"/>
        <v>1.8200000000000001E-2</v>
      </c>
      <c r="S76" s="454">
        <f t="shared" si="14"/>
        <v>1.72E-2</v>
      </c>
      <c r="T76" s="458">
        <f t="shared" si="15"/>
        <v>1.6299999999999999E-2</v>
      </c>
    </row>
    <row r="77" spans="1:20">
      <c r="A77" s="60" t="s">
        <v>172</v>
      </c>
      <c r="B77" s="71" t="s">
        <v>57</v>
      </c>
      <c r="C77" s="322">
        <v>0.06</v>
      </c>
      <c r="D77" s="323">
        <v>0.53280000000000005</v>
      </c>
      <c r="E77" s="324">
        <v>0.65</v>
      </c>
      <c r="F77" s="324">
        <v>0.68</v>
      </c>
      <c r="G77" s="355">
        <v>2016</v>
      </c>
      <c r="H77" s="356" t="str">
        <f t="shared" si="7"/>
        <v>£m 12/13</v>
      </c>
      <c r="I77" s="356" t="s">
        <v>270</v>
      </c>
      <c r="J77" s="446" t="s">
        <v>480</v>
      </c>
      <c r="K77" s="578"/>
      <c r="L77" s="579"/>
      <c r="M77" s="454">
        <f t="shared" si="8"/>
        <v>2.5499999999999998E-2</v>
      </c>
      <c r="N77" s="454">
        <f t="shared" si="9"/>
        <v>2.4199999999999999E-2</v>
      </c>
      <c r="O77" s="454">
        <f t="shared" si="10"/>
        <v>2.29E-2</v>
      </c>
      <c r="P77" s="454">
        <f t="shared" si="11"/>
        <v>2.0899999999999998E-2</v>
      </c>
      <c r="Q77" s="454">
        <f t="shared" si="12"/>
        <v>1.9400000000000001E-2</v>
      </c>
      <c r="R77" s="454">
        <f t="shared" si="13"/>
        <v>1.8200000000000001E-2</v>
      </c>
      <c r="S77" s="454">
        <f t="shared" si="14"/>
        <v>1.72E-2</v>
      </c>
      <c r="T77" s="458">
        <f t="shared" si="15"/>
        <v>1.6299999999999999E-2</v>
      </c>
    </row>
    <row r="78" spans="1:20">
      <c r="A78" s="60" t="s">
        <v>172</v>
      </c>
      <c r="B78" s="71" t="s">
        <v>58</v>
      </c>
      <c r="C78" s="322">
        <v>0.06</v>
      </c>
      <c r="D78" s="323">
        <v>0.53280000000000005</v>
      </c>
      <c r="E78" s="324">
        <v>0.65</v>
      </c>
      <c r="F78" s="324">
        <v>0.68</v>
      </c>
      <c r="G78" s="355">
        <v>2016</v>
      </c>
      <c r="H78" s="356" t="str">
        <f t="shared" si="7"/>
        <v>£m 12/13</v>
      </c>
      <c r="I78" s="356" t="s">
        <v>270</v>
      </c>
      <c r="J78" s="446" t="s">
        <v>480</v>
      </c>
      <c r="K78" s="578"/>
      <c r="L78" s="579"/>
      <c r="M78" s="454">
        <f t="shared" si="8"/>
        <v>2.5499999999999998E-2</v>
      </c>
      <c r="N78" s="454">
        <f t="shared" si="9"/>
        <v>2.4199999999999999E-2</v>
      </c>
      <c r="O78" s="454">
        <f t="shared" si="10"/>
        <v>2.29E-2</v>
      </c>
      <c r="P78" s="454">
        <f t="shared" si="11"/>
        <v>2.0899999999999998E-2</v>
      </c>
      <c r="Q78" s="454">
        <f t="shared" si="12"/>
        <v>1.9400000000000001E-2</v>
      </c>
      <c r="R78" s="454">
        <f t="shared" si="13"/>
        <v>1.8200000000000001E-2</v>
      </c>
      <c r="S78" s="454">
        <f t="shared" si="14"/>
        <v>1.72E-2</v>
      </c>
      <c r="T78" s="458">
        <f t="shared" si="15"/>
        <v>1.6299999999999999E-2</v>
      </c>
    </row>
    <row r="79" spans="1:20">
      <c r="A79" s="60" t="s">
        <v>172</v>
      </c>
      <c r="B79" s="71" t="s">
        <v>45</v>
      </c>
      <c r="C79" s="322">
        <v>0.06</v>
      </c>
      <c r="D79" s="323">
        <v>0.53500000000000003</v>
      </c>
      <c r="E79" s="324">
        <v>0.65</v>
      </c>
      <c r="F79" s="324">
        <v>0.8</v>
      </c>
      <c r="G79" s="355">
        <v>2016</v>
      </c>
      <c r="H79" s="356" t="str">
        <f t="shared" si="7"/>
        <v>£m 12/13</v>
      </c>
      <c r="I79" s="356" t="s">
        <v>270</v>
      </c>
      <c r="J79" s="446" t="s">
        <v>480</v>
      </c>
      <c r="K79" s="578"/>
      <c r="L79" s="579"/>
      <c r="M79" s="454">
        <f t="shared" si="8"/>
        <v>2.5499999999999998E-2</v>
      </c>
      <c r="N79" s="454">
        <f t="shared" si="9"/>
        <v>2.4199999999999999E-2</v>
      </c>
      <c r="O79" s="454">
        <f t="shared" si="10"/>
        <v>2.29E-2</v>
      </c>
      <c r="P79" s="454">
        <f t="shared" si="11"/>
        <v>2.0899999999999998E-2</v>
      </c>
      <c r="Q79" s="454">
        <f t="shared" si="12"/>
        <v>1.9400000000000001E-2</v>
      </c>
      <c r="R79" s="454">
        <f t="shared" si="13"/>
        <v>1.8200000000000001E-2</v>
      </c>
      <c r="S79" s="454">
        <f t="shared" si="14"/>
        <v>1.72E-2</v>
      </c>
      <c r="T79" s="458">
        <f t="shared" si="15"/>
        <v>1.6299999999999999E-2</v>
      </c>
    </row>
    <row r="80" spans="1:20">
      <c r="A80" s="60" t="s">
        <v>172</v>
      </c>
      <c r="B80" s="71" t="s">
        <v>46</v>
      </c>
      <c r="C80" s="322">
        <v>0.06</v>
      </c>
      <c r="D80" s="323">
        <v>0.53500000000000003</v>
      </c>
      <c r="E80" s="324">
        <v>0.65</v>
      </c>
      <c r="F80" s="324">
        <v>0.8</v>
      </c>
      <c r="G80" s="355">
        <v>2016</v>
      </c>
      <c r="H80" s="356" t="str">
        <f t="shared" si="7"/>
        <v>£m 12/13</v>
      </c>
      <c r="I80" s="356" t="s">
        <v>270</v>
      </c>
      <c r="J80" s="446" t="s">
        <v>480</v>
      </c>
      <c r="K80" s="578"/>
      <c r="L80" s="579"/>
      <c r="M80" s="454">
        <f t="shared" si="8"/>
        <v>2.5499999999999998E-2</v>
      </c>
      <c r="N80" s="454">
        <f t="shared" si="9"/>
        <v>2.4199999999999999E-2</v>
      </c>
      <c r="O80" s="454">
        <f t="shared" si="10"/>
        <v>2.29E-2</v>
      </c>
      <c r="P80" s="454">
        <f t="shared" si="11"/>
        <v>2.0899999999999998E-2</v>
      </c>
      <c r="Q80" s="454">
        <f t="shared" si="12"/>
        <v>1.9400000000000001E-2</v>
      </c>
      <c r="R80" s="454">
        <f t="shared" si="13"/>
        <v>1.8200000000000001E-2</v>
      </c>
      <c r="S80" s="454">
        <f t="shared" si="14"/>
        <v>1.72E-2</v>
      </c>
      <c r="T80" s="458">
        <f t="shared" si="15"/>
        <v>1.6299999999999999E-2</v>
      </c>
    </row>
    <row r="81" spans="1:20">
      <c r="A81" s="60" t="s">
        <v>172</v>
      </c>
      <c r="B81" s="71" t="s">
        <v>47</v>
      </c>
      <c r="C81" s="322">
        <v>0.06</v>
      </c>
      <c r="D81" s="323">
        <v>0.56469999999999998</v>
      </c>
      <c r="E81" s="324">
        <v>0.65</v>
      </c>
      <c r="F81" s="324">
        <v>0.62</v>
      </c>
      <c r="G81" s="355">
        <v>2016</v>
      </c>
      <c r="H81" s="356" t="str">
        <f t="shared" si="7"/>
        <v>£m 12/13</v>
      </c>
      <c r="I81" s="356" t="s">
        <v>270</v>
      </c>
      <c r="J81" s="446" t="s">
        <v>480</v>
      </c>
      <c r="K81" s="578"/>
      <c r="L81" s="579"/>
      <c r="M81" s="454">
        <f t="shared" si="8"/>
        <v>2.5499999999999998E-2</v>
      </c>
      <c r="N81" s="454">
        <f t="shared" si="9"/>
        <v>2.4199999999999999E-2</v>
      </c>
      <c r="O81" s="454">
        <f t="shared" si="10"/>
        <v>2.29E-2</v>
      </c>
      <c r="P81" s="454">
        <f t="shared" si="11"/>
        <v>2.0899999999999998E-2</v>
      </c>
      <c r="Q81" s="454">
        <f t="shared" si="12"/>
        <v>1.9400000000000001E-2</v>
      </c>
      <c r="R81" s="454">
        <f t="shared" si="13"/>
        <v>1.8200000000000001E-2</v>
      </c>
      <c r="S81" s="454">
        <f t="shared" si="14"/>
        <v>1.72E-2</v>
      </c>
      <c r="T81" s="458">
        <f t="shared" si="15"/>
        <v>1.6299999999999999E-2</v>
      </c>
    </row>
    <row r="82" spans="1:20">
      <c r="A82" s="60" t="s">
        <v>172</v>
      </c>
      <c r="B82" s="71" t="s">
        <v>48</v>
      </c>
      <c r="C82" s="322">
        <v>0.06</v>
      </c>
      <c r="D82" s="323">
        <v>0.56469999999999998</v>
      </c>
      <c r="E82" s="324">
        <v>0.65</v>
      </c>
      <c r="F82" s="324">
        <v>0.7</v>
      </c>
      <c r="G82" s="355">
        <v>2016</v>
      </c>
      <c r="H82" s="356" t="str">
        <f t="shared" si="7"/>
        <v>£m 12/13</v>
      </c>
      <c r="I82" s="356" t="s">
        <v>270</v>
      </c>
      <c r="J82" s="446" t="s">
        <v>480</v>
      </c>
      <c r="K82" s="578"/>
      <c r="L82" s="579"/>
      <c r="M82" s="454">
        <f t="shared" si="8"/>
        <v>2.5499999999999998E-2</v>
      </c>
      <c r="N82" s="454">
        <f t="shared" si="9"/>
        <v>2.4199999999999999E-2</v>
      </c>
      <c r="O82" s="454">
        <f t="shared" si="10"/>
        <v>2.29E-2</v>
      </c>
      <c r="P82" s="454">
        <f t="shared" si="11"/>
        <v>2.0899999999999998E-2</v>
      </c>
      <c r="Q82" s="454">
        <f t="shared" si="12"/>
        <v>1.9400000000000001E-2</v>
      </c>
      <c r="R82" s="454">
        <f t="shared" si="13"/>
        <v>1.8200000000000001E-2</v>
      </c>
      <c r="S82" s="454">
        <f t="shared" si="14"/>
        <v>1.72E-2</v>
      </c>
      <c r="T82" s="458">
        <f t="shared" si="15"/>
        <v>1.6299999999999999E-2</v>
      </c>
    </row>
    <row r="83" spans="1:20">
      <c r="A83" s="60" t="s">
        <v>172</v>
      </c>
      <c r="B83" s="71" t="s">
        <v>246</v>
      </c>
      <c r="C83" s="322">
        <v>6.4000000000000001E-2</v>
      </c>
      <c r="D83" s="323">
        <v>0.7</v>
      </c>
      <c r="E83" s="324">
        <v>0.65</v>
      </c>
      <c r="F83" s="324">
        <v>0.8</v>
      </c>
      <c r="G83" s="355">
        <v>2016</v>
      </c>
      <c r="H83" s="356" t="str">
        <f t="shared" si="7"/>
        <v>£m 12/13</v>
      </c>
      <c r="I83" s="356" t="s">
        <v>271</v>
      </c>
      <c r="J83" s="446" t="s">
        <v>481</v>
      </c>
      <c r="K83" s="578"/>
      <c r="L83" s="579"/>
      <c r="M83" s="454">
        <f t="shared" ref="M83:T86" si="16">E$63</f>
        <v>2.5499999999999998E-2</v>
      </c>
      <c r="N83" s="454">
        <f t="shared" si="16"/>
        <v>2.3799999999999998E-2</v>
      </c>
      <c r="O83" s="454">
        <f t="shared" si="16"/>
        <v>2.2200000000000001E-2</v>
      </c>
      <c r="P83" s="454">
        <f t="shared" si="16"/>
        <v>1.9099999999999999E-2</v>
      </c>
      <c r="Q83" s="454">
        <f t="shared" si="16"/>
        <v>1.5800000000000002E-2</v>
      </c>
      <c r="R83" s="454">
        <f t="shared" si="16"/>
        <v>1.1399999999999999E-2</v>
      </c>
      <c r="S83" s="454">
        <f t="shared" si="16"/>
        <v>9.1999999999999998E-3</v>
      </c>
      <c r="T83" s="458">
        <f t="shared" si="16"/>
        <v>7.1999999999999998E-3</v>
      </c>
    </row>
    <row r="84" spans="1:20">
      <c r="A84" s="60" t="s">
        <v>172</v>
      </c>
      <c r="B84" s="71" t="s">
        <v>247</v>
      </c>
      <c r="C84" s="322">
        <v>6.4000000000000001E-2</v>
      </c>
      <c r="D84" s="323">
        <v>0.7</v>
      </c>
      <c r="E84" s="324">
        <v>0.65</v>
      </c>
      <c r="F84" s="324">
        <v>0.8</v>
      </c>
      <c r="G84" s="355">
        <v>2016</v>
      </c>
      <c r="H84" s="356" t="str">
        <f t="shared" si="7"/>
        <v>£m 12/13</v>
      </c>
      <c r="I84" s="356" t="s">
        <v>271</v>
      </c>
      <c r="J84" s="446" t="s">
        <v>481</v>
      </c>
      <c r="K84" s="578"/>
      <c r="L84" s="579"/>
      <c r="M84" s="454">
        <f t="shared" si="16"/>
        <v>2.5499999999999998E-2</v>
      </c>
      <c r="N84" s="454">
        <f t="shared" si="16"/>
        <v>2.3799999999999998E-2</v>
      </c>
      <c r="O84" s="454">
        <f t="shared" si="16"/>
        <v>2.2200000000000001E-2</v>
      </c>
      <c r="P84" s="454">
        <f t="shared" si="16"/>
        <v>1.9099999999999999E-2</v>
      </c>
      <c r="Q84" s="454">
        <f t="shared" si="16"/>
        <v>1.5800000000000002E-2</v>
      </c>
      <c r="R84" s="454">
        <f t="shared" si="16"/>
        <v>1.1399999999999999E-2</v>
      </c>
      <c r="S84" s="454">
        <f t="shared" si="16"/>
        <v>9.1999999999999998E-3</v>
      </c>
      <c r="T84" s="458">
        <f t="shared" si="16"/>
        <v>7.1999999999999998E-3</v>
      </c>
    </row>
    <row r="85" spans="1:20">
      <c r="A85" s="60" t="s">
        <v>172</v>
      </c>
      <c r="B85" s="71" t="s">
        <v>248</v>
      </c>
      <c r="C85" s="322">
        <v>6.4000000000000001E-2</v>
      </c>
      <c r="D85" s="323">
        <v>0.7</v>
      </c>
      <c r="E85" s="324">
        <v>0.65</v>
      </c>
      <c r="F85" s="324">
        <v>0.8</v>
      </c>
      <c r="G85" s="355">
        <v>2016</v>
      </c>
      <c r="H85" s="356" t="str">
        <f t="shared" si="7"/>
        <v>£m 12/13</v>
      </c>
      <c r="I85" s="356" t="s">
        <v>271</v>
      </c>
      <c r="J85" s="446" t="s">
        <v>481</v>
      </c>
      <c r="K85" s="578"/>
      <c r="L85" s="579"/>
      <c r="M85" s="454">
        <f t="shared" si="16"/>
        <v>2.5499999999999998E-2</v>
      </c>
      <c r="N85" s="454">
        <f t="shared" si="16"/>
        <v>2.3799999999999998E-2</v>
      </c>
      <c r="O85" s="454">
        <f t="shared" si="16"/>
        <v>2.2200000000000001E-2</v>
      </c>
      <c r="P85" s="454">
        <f t="shared" si="16"/>
        <v>1.9099999999999999E-2</v>
      </c>
      <c r="Q85" s="454">
        <f t="shared" si="16"/>
        <v>1.5800000000000002E-2</v>
      </c>
      <c r="R85" s="454">
        <f t="shared" si="16"/>
        <v>1.1399999999999999E-2</v>
      </c>
      <c r="S85" s="454">
        <f t="shared" si="16"/>
        <v>9.1999999999999998E-3</v>
      </c>
      <c r="T85" s="458">
        <f t="shared" si="16"/>
        <v>7.1999999999999998E-3</v>
      </c>
    </row>
    <row r="86" spans="1:20">
      <c r="A86" s="60" t="s">
        <v>172</v>
      </c>
      <c r="B86" s="71" t="s">
        <v>249</v>
      </c>
      <c r="C86" s="322">
        <v>6.4000000000000001E-2</v>
      </c>
      <c r="D86" s="323">
        <v>0.7</v>
      </c>
      <c r="E86" s="324">
        <v>0.65</v>
      </c>
      <c r="F86" s="324">
        <v>0.8</v>
      </c>
      <c r="G86" s="355">
        <v>2016</v>
      </c>
      <c r="H86" s="356" t="str">
        <f t="shared" si="7"/>
        <v>£m 12/13</v>
      </c>
      <c r="I86" s="356" t="s">
        <v>271</v>
      </c>
      <c r="J86" s="446" t="s">
        <v>481</v>
      </c>
      <c r="K86" s="578"/>
      <c r="L86" s="579"/>
      <c r="M86" s="454">
        <f t="shared" si="16"/>
        <v>2.5499999999999998E-2</v>
      </c>
      <c r="N86" s="454">
        <f t="shared" si="16"/>
        <v>2.3799999999999998E-2</v>
      </c>
      <c r="O86" s="454">
        <f t="shared" si="16"/>
        <v>2.2200000000000001E-2</v>
      </c>
      <c r="P86" s="454">
        <f t="shared" si="16"/>
        <v>1.9099999999999999E-2</v>
      </c>
      <c r="Q86" s="454">
        <f t="shared" si="16"/>
        <v>1.5800000000000002E-2</v>
      </c>
      <c r="R86" s="454">
        <f t="shared" si="16"/>
        <v>1.1399999999999999E-2</v>
      </c>
      <c r="S86" s="454">
        <f t="shared" si="16"/>
        <v>9.1999999999999998E-3</v>
      </c>
      <c r="T86" s="458">
        <f t="shared" si="16"/>
        <v>7.1999999999999998E-3</v>
      </c>
    </row>
    <row r="87" spans="1:20">
      <c r="A87" s="60" t="s">
        <v>173</v>
      </c>
      <c r="B87" s="71" t="s">
        <v>53</v>
      </c>
      <c r="C87" s="322">
        <v>6.7000000000000004E-2</v>
      </c>
      <c r="D87" s="323">
        <v>0.63039999999999996</v>
      </c>
      <c r="E87" s="324">
        <v>0.65</v>
      </c>
      <c r="F87" s="324">
        <v>0.26634501855794862</v>
      </c>
      <c r="G87" s="355">
        <v>2014</v>
      </c>
      <c r="H87" s="356" t="str">
        <f t="shared" si="7"/>
        <v>£m 09/10</v>
      </c>
      <c r="I87" s="356" t="s">
        <v>270</v>
      </c>
      <c r="J87" s="446" t="s">
        <v>481</v>
      </c>
      <c r="K87" s="456">
        <f t="shared" ref="K87:R94" si="17">C$67</f>
        <v>2.92E-2</v>
      </c>
      <c r="L87" s="454">
        <f t="shared" si="17"/>
        <v>2.7199999999999998E-2</v>
      </c>
      <c r="M87" s="454">
        <f t="shared" si="17"/>
        <v>2.5499999999999998E-2</v>
      </c>
      <c r="N87" s="454">
        <f t="shared" si="17"/>
        <v>2.3800000000000002E-2</v>
      </c>
      <c r="O87" s="454">
        <f t="shared" si="17"/>
        <v>2.2200000000000001E-2</v>
      </c>
      <c r="P87" s="454">
        <f t="shared" si="17"/>
        <v>1.9099999999999999E-2</v>
      </c>
      <c r="Q87" s="454">
        <f t="shared" si="17"/>
        <v>1.5800000000000002E-2</v>
      </c>
      <c r="R87" s="454">
        <f t="shared" si="17"/>
        <v>1.1399999999999999E-2</v>
      </c>
      <c r="S87" s="579"/>
      <c r="T87" s="580"/>
    </row>
    <row r="88" spans="1:20">
      <c r="A88" s="60" t="s">
        <v>173</v>
      </c>
      <c r="B88" s="71" t="s">
        <v>54</v>
      </c>
      <c r="C88" s="322">
        <v>6.7000000000000004E-2</v>
      </c>
      <c r="D88" s="323">
        <v>0.63039999999999996</v>
      </c>
      <c r="E88" s="324">
        <v>0.65</v>
      </c>
      <c r="F88" s="324">
        <v>0.23469337831705597</v>
      </c>
      <c r="G88" s="355">
        <v>2014</v>
      </c>
      <c r="H88" s="356" t="str">
        <f t="shared" si="7"/>
        <v>£m 09/10</v>
      </c>
      <c r="I88" s="356" t="s">
        <v>270</v>
      </c>
      <c r="J88" s="446" t="s">
        <v>481</v>
      </c>
      <c r="K88" s="456">
        <f t="shared" si="17"/>
        <v>2.92E-2</v>
      </c>
      <c r="L88" s="454">
        <f t="shared" si="17"/>
        <v>2.7199999999999998E-2</v>
      </c>
      <c r="M88" s="454">
        <f t="shared" si="17"/>
        <v>2.5499999999999998E-2</v>
      </c>
      <c r="N88" s="454">
        <f t="shared" si="17"/>
        <v>2.3800000000000002E-2</v>
      </c>
      <c r="O88" s="454">
        <f t="shared" si="17"/>
        <v>2.2200000000000001E-2</v>
      </c>
      <c r="P88" s="454">
        <f t="shared" si="17"/>
        <v>1.9099999999999999E-2</v>
      </c>
      <c r="Q88" s="454">
        <f t="shared" si="17"/>
        <v>1.5800000000000002E-2</v>
      </c>
      <c r="R88" s="454">
        <f t="shared" si="17"/>
        <v>1.1399999999999999E-2</v>
      </c>
      <c r="S88" s="579"/>
      <c r="T88" s="580"/>
    </row>
    <row r="89" spans="1:20">
      <c r="A89" s="60" t="s">
        <v>173</v>
      </c>
      <c r="B89" s="71" t="s">
        <v>55</v>
      </c>
      <c r="C89" s="322">
        <v>6.7000000000000004E-2</v>
      </c>
      <c r="D89" s="323">
        <v>0.63039999999999996</v>
      </c>
      <c r="E89" s="324">
        <v>0.65</v>
      </c>
      <c r="F89" s="324">
        <v>0.24946223864843597</v>
      </c>
      <c r="G89" s="355">
        <v>2014</v>
      </c>
      <c r="H89" s="356" t="str">
        <f t="shared" si="7"/>
        <v>£m 09/10</v>
      </c>
      <c r="I89" s="356" t="s">
        <v>270</v>
      </c>
      <c r="J89" s="446" t="s">
        <v>481</v>
      </c>
      <c r="K89" s="456">
        <f t="shared" si="17"/>
        <v>2.92E-2</v>
      </c>
      <c r="L89" s="454">
        <f t="shared" si="17"/>
        <v>2.7199999999999998E-2</v>
      </c>
      <c r="M89" s="454">
        <f t="shared" si="17"/>
        <v>2.5499999999999998E-2</v>
      </c>
      <c r="N89" s="454">
        <f t="shared" si="17"/>
        <v>2.3800000000000002E-2</v>
      </c>
      <c r="O89" s="454">
        <f t="shared" si="17"/>
        <v>2.2200000000000001E-2</v>
      </c>
      <c r="P89" s="454">
        <f t="shared" si="17"/>
        <v>1.9099999999999999E-2</v>
      </c>
      <c r="Q89" s="454">
        <f t="shared" si="17"/>
        <v>1.5800000000000002E-2</v>
      </c>
      <c r="R89" s="454">
        <f t="shared" si="17"/>
        <v>1.1399999999999999E-2</v>
      </c>
      <c r="S89" s="579"/>
      <c r="T89" s="580"/>
    </row>
    <row r="90" spans="1:20">
      <c r="A90" s="60" t="s">
        <v>173</v>
      </c>
      <c r="B90" s="71" t="s">
        <v>56</v>
      </c>
      <c r="C90" s="322">
        <v>6.7000000000000004E-2</v>
      </c>
      <c r="D90" s="323">
        <v>0.63039999999999996</v>
      </c>
      <c r="E90" s="324">
        <v>0.65</v>
      </c>
      <c r="F90" s="324">
        <v>0.26095352485819256</v>
      </c>
      <c r="G90" s="355">
        <v>2014</v>
      </c>
      <c r="H90" s="356" t="str">
        <f t="shared" si="7"/>
        <v>£m 09/10</v>
      </c>
      <c r="I90" s="356" t="s">
        <v>270</v>
      </c>
      <c r="J90" s="446" t="s">
        <v>481</v>
      </c>
      <c r="K90" s="456">
        <f t="shared" si="17"/>
        <v>2.92E-2</v>
      </c>
      <c r="L90" s="454">
        <f t="shared" si="17"/>
        <v>2.7199999999999998E-2</v>
      </c>
      <c r="M90" s="454">
        <f t="shared" si="17"/>
        <v>2.5499999999999998E-2</v>
      </c>
      <c r="N90" s="454">
        <f t="shared" si="17"/>
        <v>2.3800000000000002E-2</v>
      </c>
      <c r="O90" s="454">
        <f t="shared" si="17"/>
        <v>2.2200000000000001E-2</v>
      </c>
      <c r="P90" s="454">
        <f t="shared" si="17"/>
        <v>1.9099999999999999E-2</v>
      </c>
      <c r="Q90" s="454">
        <f t="shared" si="17"/>
        <v>1.5800000000000002E-2</v>
      </c>
      <c r="R90" s="454">
        <f t="shared" si="17"/>
        <v>1.1399999999999999E-2</v>
      </c>
      <c r="S90" s="579"/>
      <c r="T90" s="580"/>
    </row>
    <row r="91" spans="1:20">
      <c r="A91" s="60" t="s">
        <v>173</v>
      </c>
      <c r="B91" s="71" t="s">
        <v>50</v>
      </c>
      <c r="C91" s="322">
        <v>6.7000000000000004E-2</v>
      </c>
      <c r="D91" s="323">
        <v>0.63980000000000004</v>
      </c>
      <c r="E91" s="324">
        <v>0.65</v>
      </c>
      <c r="F91" s="324">
        <v>0.34984411379298247</v>
      </c>
      <c r="G91" s="355">
        <v>2014</v>
      </c>
      <c r="H91" s="356" t="str">
        <f t="shared" si="7"/>
        <v>£m 09/10</v>
      </c>
      <c r="I91" s="356" t="s">
        <v>270</v>
      </c>
      <c r="J91" s="446" t="s">
        <v>481</v>
      </c>
      <c r="K91" s="456">
        <f t="shared" si="17"/>
        <v>2.92E-2</v>
      </c>
      <c r="L91" s="454">
        <f t="shared" si="17"/>
        <v>2.7199999999999998E-2</v>
      </c>
      <c r="M91" s="454">
        <f t="shared" si="17"/>
        <v>2.5499999999999998E-2</v>
      </c>
      <c r="N91" s="454">
        <f t="shared" si="17"/>
        <v>2.3800000000000002E-2</v>
      </c>
      <c r="O91" s="454">
        <f t="shared" si="17"/>
        <v>2.2200000000000001E-2</v>
      </c>
      <c r="P91" s="454">
        <f t="shared" si="17"/>
        <v>1.9099999999999999E-2</v>
      </c>
      <c r="Q91" s="454">
        <f t="shared" si="17"/>
        <v>1.5800000000000002E-2</v>
      </c>
      <c r="R91" s="454">
        <f t="shared" si="17"/>
        <v>1.1399999999999999E-2</v>
      </c>
      <c r="S91" s="579"/>
      <c r="T91" s="580"/>
    </row>
    <row r="92" spans="1:20">
      <c r="A92" s="60" t="s">
        <v>173</v>
      </c>
      <c r="B92" s="71" t="s">
        <v>52</v>
      </c>
      <c r="C92" s="322">
        <v>6.7000000000000004E-2</v>
      </c>
      <c r="D92" s="323">
        <v>0.63729999999999998</v>
      </c>
      <c r="E92" s="324">
        <v>0.65</v>
      </c>
      <c r="F92" s="324">
        <v>0.35129049661183626</v>
      </c>
      <c r="G92" s="355">
        <v>2014</v>
      </c>
      <c r="H92" s="356" t="str">
        <f t="shared" si="7"/>
        <v>£m 09/10</v>
      </c>
      <c r="I92" s="356" t="s">
        <v>270</v>
      </c>
      <c r="J92" s="446" t="s">
        <v>481</v>
      </c>
      <c r="K92" s="456">
        <f t="shared" si="17"/>
        <v>2.92E-2</v>
      </c>
      <c r="L92" s="454">
        <f t="shared" si="17"/>
        <v>2.7199999999999998E-2</v>
      </c>
      <c r="M92" s="454">
        <f t="shared" si="17"/>
        <v>2.5499999999999998E-2</v>
      </c>
      <c r="N92" s="454">
        <f t="shared" si="17"/>
        <v>2.3800000000000002E-2</v>
      </c>
      <c r="O92" s="454">
        <f t="shared" si="17"/>
        <v>2.2200000000000001E-2</v>
      </c>
      <c r="P92" s="454">
        <f t="shared" si="17"/>
        <v>1.9099999999999999E-2</v>
      </c>
      <c r="Q92" s="454">
        <f t="shared" si="17"/>
        <v>1.5800000000000002E-2</v>
      </c>
      <c r="R92" s="454">
        <f t="shared" si="17"/>
        <v>1.1399999999999999E-2</v>
      </c>
      <c r="S92" s="579"/>
      <c r="T92" s="580"/>
    </row>
    <row r="93" spans="1:20">
      <c r="A93" s="60" t="s">
        <v>173</v>
      </c>
      <c r="B93" s="71" t="s">
        <v>51</v>
      </c>
      <c r="C93" s="322">
        <v>6.7000000000000004E-2</v>
      </c>
      <c r="D93" s="323">
        <v>0.63729999999999998</v>
      </c>
      <c r="E93" s="324">
        <v>0.65</v>
      </c>
      <c r="F93" s="324">
        <v>0.32230855902021693</v>
      </c>
      <c r="G93" s="355">
        <v>2014</v>
      </c>
      <c r="H93" s="356" t="str">
        <f t="shared" si="7"/>
        <v>£m 09/10</v>
      </c>
      <c r="I93" s="356" t="s">
        <v>270</v>
      </c>
      <c r="J93" s="446" t="s">
        <v>481</v>
      </c>
      <c r="K93" s="456">
        <f t="shared" si="17"/>
        <v>2.92E-2</v>
      </c>
      <c r="L93" s="454">
        <f t="shared" si="17"/>
        <v>2.7199999999999998E-2</v>
      </c>
      <c r="M93" s="454">
        <f t="shared" si="17"/>
        <v>2.5499999999999998E-2</v>
      </c>
      <c r="N93" s="454">
        <f t="shared" si="17"/>
        <v>2.3800000000000002E-2</v>
      </c>
      <c r="O93" s="454">
        <f t="shared" si="17"/>
        <v>2.2200000000000001E-2</v>
      </c>
      <c r="P93" s="454">
        <f t="shared" si="17"/>
        <v>1.9099999999999999E-2</v>
      </c>
      <c r="Q93" s="454">
        <f t="shared" si="17"/>
        <v>1.5800000000000002E-2</v>
      </c>
      <c r="R93" s="454">
        <f t="shared" si="17"/>
        <v>1.1399999999999999E-2</v>
      </c>
      <c r="S93" s="579"/>
      <c r="T93" s="580"/>
    </row>
    <row r="94" spans="1:20">
      <c r="A94" s="60" t="s">
        <v>173</v>
      </c>
      <c r="B94" s="71" t="s">
        <v>49</v>
      </c>
      <c r="C94" s="322">
        <v>6.7000000000000004E-2</v>
      </c>
      <c r="D94" s="323">
        <v>0.63170000000000004</v>
      </c>
      <c r="E94" s="324">
        <v>0.65</v>
      </c>
      <c r="F94" s="324">
        <v>0.35781904469402892</v>
      </c>
      <c r="G94" s="355">
        <v>2014</v>
      </c>
      <c r="H94" s="356" t="str">
        <f t="shared" si="7"/>
        <v>£m 09/10</v>
      </c>
      <c r="I94" s="356" t="s">
        <v>270</v>
      </c>
      <c r="J94" s="446" t="s">
        <v>481</v>
      </c>
      <c r="K94" s="456">
        <f t="shared" si="17"/>
        <v>2.92E-2</v>
      </c>
      <c r="L94" s="454">
        <f t="shared" si="17"/>
        <v>2.7199999999999998E-2</v>
      </c>
      <c r="M94" s="454">
        <f t="shared" si="17"/>
        <v>2.5499999999999998E-2</v>
      </c>
      <c r="N94" s="454">
        <f t="shared" si="17"/>
        <v>2.3800000000000002E-2</v>
      </c>
      <c r="O94" s="454">
        <f t="shared" si="17"/>
        <v>2.2200000000000001E-2</v>
      </c>
      <c r="P94" s="454">
        <f t="shared" si="17"/>
        <v>1.9099999999999999E-2</v>
      </c>
      <c r="Q94" s="454">
        <f t="shared" si="17"/>
        <v>1.5800000000000002E-2</v>
      </c>
      <c r="R94" s="454">
        <f t="shared" si="17"/>
        <v>1.1399999999999999E-2</v>
      </c>
      <c r="S94" s="579"/>
      <c r="T94" s="580"/>
    </row>
    <row r="95" spans="1:20">
      <c r="A95" s="60" t="s">
        <v>175</v>
      </c>
      <c r="B95" s="71" t="s">
        <v>113</v>
      </c>
      <c r="C95" s="322">
        <v>6.8000000000000005E-2</v>
      </c>
      <c r="D95" s="323">
        <v>0.44359999999999999</v>
      </c>
      <c r="E95" s="324">
        <v>0.625</v>
      </c>
      <c r="F95" s="324">
        <v>0.64400000000000002</v>
      </c>
      <c r="G95" s="355">
        <v>2014</v>
      </c>
      <c r="H95" s="356" t="str">
        <f t="shared" si="7"/>
        <v>£m 09/10</v>
      </c>
      <c r="I95" s="356" t="s">
        <v>270</v>
      </c>
      <c r="J95" s="446" t="s">
        <v>481</v>
      </c>
      <c r="K95" s="456">
        <f t="shared" ref="K95:R96" si="18">C$68</f>
        <v>2.92E-2</v>
      </c>
      <c r="L95" s="454">
        <f t="shared" si="18"/>
        <v>2.7199999999999998E-2</v>
      </c>
      <c r="M95" s="454">
        <f t="shared" si="18"/>
        <v>2.5499999999999998E-2</v>
      </c>
      <c r="N95" s="454">
        <f t="shared" si="18"/>
        <v>2.3800000000000002E-2</v>
      </c>
      <c r="O95" s="454">
        <f t="shared" si="18"/>
        <v>2.2200000000000001E-2</v>
      </c>
      <c r="P95" s="454">
        <f t="shared" si="18"/>
        <v>1.9099999999999999E-2</v>
      </c>
      <c r="Q95" s="454">
        <f t="shared" si="18"/>
        <v>1.5800000000000002E-2</v>
      </c>
      <c r="R95" s="454">
        <f t="shared" si="18"/>
        <v>1.1399999999999999E-2</v>
      </c>
      <c r="S95" s="579"/>
      <c r="T95" s="580"/>
    </row>
    <row r="96" spans="1:20">
      <c r="A96" s="60" t="s">
        <v>175</v>
      </c>
      <c r="B96" s="71" t="s">
        <v>114</v>
      </c>
      <c r="C96" s="322">
        <v>6.8000000000000005E-2</v>
      </c>
      <c r="D96" s="323">
        <v>0.44359999999999999</v>
      </c>
      <c r="E96" s="324">
        <v>0.625</v>
      </c>
      <c r="F96" s="324">
        <v>0.374</v>
      </c>
      <c r="G96" s="355">
        <v>2014</v>
      </c>
      <c r="H96" s="356" t="str">
        <f t="shared" si="7"/>
        <v>£m 09/10</v>
      </c>
      <c r="I96" s="356" t="s">
        <v>270</v>
      </c>
      <c r="J96" s="446" t="s">
        <v>481</v>
      </c>
      <c r="K96" s="456">
        <f t="shared" si="18"/>
        <v>2.92E-2</v>
      </c>
      <c r="L96" s="454">
        <f t="shared" si="18"/>
        <v>2.7199999999999998E-2</v>
      </c>
      <c r="M96" s="454">
        <f t="shared" si="18"/>
        <v>2.5499999999999998E-2</v>
      </c>
      <c r="N96" s="454">
        <f t="shared" si="18"/>
        <v>2.3800000000000002E-2</v>
      </c>
      <c r="O96" s="454">
        <f t="shared" si="18"/>
        <v>2.2200000000000001E-2</v>
      </c>
      <c r="P96" s="454">
        <f t="shared" si="18"/>
        <v>1.9099999999999999E-2</v>
      </c>
      <c r="Q96" s="454">
        <f t="shared" si="18"/>
        <v>1.5800000000000002E-2</v>
      </c>
      <c r="R96" s="454">
        <f t="shared" si="18"/>
        <v>1.1399999999999999E-2</v>
      </c>
      <c r="S96" s="579"/>
      <c r="T96" s="580"/>
    </row>
    <row r="97" spans="1:20">
      <c r="A97" s="60" t="s">
        <v>174</v>
      </c>
      <c r="B97" s="71" t="s">
        <v>111</v>
      </c>
      <c r="C97" s="322">
        <v>7.0000000000000007E-2</v>
      </c>
      <c r="D97" s="323">
        <v>0.46889999999999998</v>
      </c>
      <c r="E97" s="324">
        <v>0.6</v>
      </c>
      <c r="F97" s="324">
        <v>0.85</v>
      </c>
      <c r="G97" s="355">
        <v>2014</v>
      </c>
      <c r="H97" s="356" t="str">
        <f t="shared" si="7"/>
        <v>£m 09/10</v>
      </c>
      <c r="I97" s="356" t="s">
        <v>270</v>
      </c>
      <c r="J97" s="446" t="s">
        <v>481</v>
      </c>
      <c r="K97" s="456">
        <f t="shared" ref="K97:R99" si="19">C$66</f>
        <v>2.92E-2</v>
      </c>
      <c r="L97" s="454">
        <f t="shared" si="19"/>
        <v>2.7199999999999998E-2</v>
      </c>
      <c r="M97" s="454">
        <f t="shared" si="19"/>
        <v>2.5499999999999998E-2</v>
      </c>
      <c r="N97" s="454">
        <f t="shared" si="19"/>
        <v>2.3800000000000002E-2</v>
      </c>
      <c r="O97" s="454">
        <f t="shared" si="19"/>
        <v>2.2200000000000001E-2</v>
      </c>
      <c r="P97" s="454">
        <f t="shared" si="19"/>
        <v>1.9099999999999999E-2</v>
      </c>
      <c r="Q97" s="454">
        <f t="shared" si="19"/>
        <v>1.5800000000000002E-2</v>
      </c>
      <c r="R97" s="454">
        <f t="shared" si="19"/>
        <v>1.1399999999999999E-2</v>
      </c>
      <c r="S97" s="579"/>
      <c r="T97" s="580"/>
    </row>
    <row r="98" spans="1:20">
      <c r="A98" s="60" t="s">
        <v>174</v>
      </c>
      <c r="B98" s="71" t="s">
        <v>112</v>
      </c>
      <c r="C98" s="322">
        <v>7.0000000000000007E-2</v>
      </c>
      <c r="D98" s="323">
        <v>0.46889999999999998</v>
      </c>
      <c r="E98" s="324">
        <v>0.6</v>
      </c>
      <c r="F98" s="324">
        <v>0.27900000000000003</v>
      </c>
      <c r="G98" s="341">
        <v>2014</v>
      </c>
      <c r="H98" s="342" t="str">
        <f>VLOOKUP($A98,$E$54:$F$57,2,FALSE)</f>
        <v>£m 09/10</v>
      </c>
      <c r="I98" s="339" t="s">
        <v>270</v>
      </c>
      <c r="J98" s="446" t="s">
        <v>481</v>
      </c>
      <c r="K98" s="456">
        <f t="shared" si="19"/>
        <v>2.92E-2</v>
      </c>
      <c r="L98" s="454">
        <f t="shared" si="19"/>
        <v>2.7199999999999998E-2</v>
      </c>
      <c r="M98" s="454">
        <f t="shared" si="19"/>
        <v>2.5499999999999998E-2</v>
      </c>
      <c r="N98" s="454">
        <f t="shared" si="19"/>
        <v>2.3800000000000002E-2</v>
      </c>
      <c r="O98" s="454">
        <f t="shared" si="19"/>
        <v>2.2200000000000001E-2</v>
      </c>
      <c r="P98" s="454">
        <f t="shared" si="19"/>
        <v>1.9099999999999999E-2</v>
      </c>
      <c r="Q98" s="454">
        <f t="shared" si="19"/>
        <v>1.5800000000000002E-2</v>
      </c>
      <c r="R98" s="454">
        <f t="shared" si="19"/>
        <v>1.1399999999999999E-2</v>
      </c>
      <c r="S98" s="579"/>
      <c r="T98" s="580"/>
    </row>
    <row r="99" spans="1:20">
      <c r="A99" s="60" t="s">
        <v>174</v>
      </c>
      <c r="B99" s="71" t="s">
        <v>60</v>
      </c>
      <c r="C99" s="322">
        <v>7.0000000000000007E-2</v>
      </c>
      <c r="D99" s="323">
        <v>0.5</v>
      </c>
      <c r="E99" s="324">
        <v>0.55000000000000004</v>
      </c>
      <c r="F99" s="324">
        <v>0.9</v>
      </c>
      <c r="G99" s="341">
        <v>2014</v>
      </c>
      <c r="H99" s="342" t="str">
        <f>VLOOKUP($A99,$E$54:$F$57,2,FALSE)</f>
        <v>£m 09/10</v>
      </c>
      <c r="I99" s="339" t="s">
        <v>271</v>
      </c>
      <c r="J99" s="446" t="s">
        <v>481</v>
      </c>
      <c r="K99" s="456">
        <f t="shared" si="19"/>
        <v>2.92E-2</v>
      </c>
      <c r="L99" s="454">
        <f t="shared" si="19"/>
        <v>2.7199999999999998E-2</v>
      </c>
      <c r="M99" s="454">
        <f t="shared" si="19"/>
        <v>2.5499999999999998E-2</v>
      </c>
      <c r="N99" s="454">
        <f t="shared" si="19"/>
        <v>2.3800000000000002E-2</v>
      </c>
      <c r="O99" s="454">
        <f t="shared" si="19"/>
        <v>2.2200000000000001E-2</v>
      </c>
      <c r="P99" s="454">
        <f t="shared" si="19"/>
        <v>1.9099999999999999E-2</v>
      </c>
      <c r="Q99" s="454">
        <f t="shared" si="19"/>
        <v>1.5800000000000002E-2</v>
      </c>
      <c r="R99" s="454">
        <f t="shared" si="19"/>
        <v>1.1399999999999999E-2</v>
      </c>
      <c r="S99" s="579"/>
      <c r="T99" s="580"/>
    </row>
    <row r="100" spans="1:20">
      <c r="A100" s="60" t="s">
        <v>174</v>
      </c>
      <c r="B100" s="72" t="s">
        <v>61</v>
      </c>
      <c r="C100" s="325">
        <v>7.0000000000000007E-2</v>
      </c>
      <c r="D100" s="326">
        <v>0.5</v>
      </c>
      <c r="E100" s="327">
        <v>0.55000000000000004</v>
      </c>
      <c r="F100" s="327">
        <v>0.9</v>
      </c>
      <c r="G100" s="343">
        <v>2014</v>
      </c>
      <c r="H100" s="344" t="str">
        <f>VLOOKUP($A100,$E$54:$F$57,2,FALSE)</f>
        <v>£m 09/10</v>
      </c>
      <c r="I100" s="340" t="s">
        <v>271</v>
      </c>
      <c r="J100" s="446" t="s">
        <v>481</v>
      </c>
      <c r="K100" s="457">
        <f t="shared" ref="K100:R100" si="20">C$65</f>
        <v>2.92E-2</v>
      </c>
      <c r="L100" s="455">
        <f t="shared" si="20"/>
        <v>2.5000000000000001E-2</v>
      </c>
      <c r="M100" s="455">
        <f t="shared" si="20"/>
        <v>2.1499999999999998E-2</v>
      </c>
      <c r="N100" s="455">
        <f t="shared" si="20"/>
        <v>1.7899999999999999E-2</v>
      </c>
      <c r="O100" s="455">
        <f t="shared" si="20"/>
        <v>1.5100000000000001E-2</v>
      </c>
      <c r="P100" s="455">
        <f t="shared" si="20"/>
        <v>1.1599999999999999E-2</v>
      </c>
      <c r="Q100" s="455">
        <f t="shared" si="20"/>
        <v>1.0200000000000001E-2</v>
      </c>
      <c r="R100" s="455">
        <f t="shared" si="20"/>
        <v>8.6E-3</v>
      </c>
      <c r="S100" s="581"/>
      <c r="T100" s="582"/>
    </row>
    <row r="101" spans="1:20">
      <c r="I101" s="66"/>
    </row>
    <row r="102" spans="1:20">
      <c r="I102" s="66"/>
    </row>
    <row r="103" spans="1:20">
      <c r="I103" s="66"/>
    </row>
    <row r="104" spans="1:20" ht="13.5">
      <c r="B104" s="14" t="s">
        <v>250</v>
      </c>
      <c r="D104" s="309"/>
      <c r="E104" s="309"/>
      <c r="F104" s="309"/>
      <c r="G104" s="309"/>
      <c r="H104" s="309"/>
      <c r="I104" s="309"/>
      <c r="J104" s="309"/>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17" t="s">
        <v>53</v>
      </c>
      <c r="C106" s="314">
        <v>0.5</v>
      </c>
      <c r="D106" s="314">
        <v>0.5714285714285714</v>
      </c>
      <c r="E106" s="314">
        <v>0.64285714285714279</v>
      </c>
      <c r="F106" s="314">
        <v>0.71428571428571419</v>
      </c>
      <c r="G106" s="314">
        <v>0.78571428571428559</v>
      </c>
      <c r="H106" s="314">
        <v>0.85714285714285698</v>
      </c>
      <c r="I106" s="314">
        <v>0.92857142857142838</v>
      </c>
      <c r="J106" s="315">
        <v>1</v>
      </c>
    </row>
    <row r="107" spans="1:20">
      <c r="B107" s="318" t="s">
        <v>54</v>
      </c>
      <c r="C107" s="225">
        <v>0.5</v>
      </c>
      <c r="D107" s="225">
        <v>0.5714285714285714</v>
      </c>
      <c r="E107" s="225">
        <v>0.64285714285714279</v>
      </c>
      <c r="F107" s="225">
        <v>0.71428571428571419</v>
      </c>
      <c r="G107" s="225">
        <v>0.78571428571428559</v>
      </c>
      <c r="H107" s="225">
        <v>0.85714285714285698</v>
      </c>
      <c r="I107" s="225">
        <v>0.92857142857142838</v>
      </c>
      <c r="J107" s="226">
        <v>1</v>
      </c>
    </row>
    <row r="108" spans="1:20">
      <c r="B108" s="318" t="s">
        <v>55</v>
      </c>
      <c r="C108" s="225">
        <v>0.5</v>
      </c>
      <c r="D108" s="225">
        <v>0.5714285714285714</v>
      </c>
      <c r="E108" s="225">
        <v>0.64285714285714279</v>
      </c>
      <c r="F108" s="225">
        <v>0.71428571428571419</v>
      </c>
      <c r="G108" s="225">
        <v>0.78571428571428559</v>
      </c>
      <c r="H108" s="225">
        <v>0.85714285714285698</v>
      </c>
      <c r="I108" s="225">
        <v>0.92857142857142838</v>
      </c>
      <c r="J108" s="226">
        <v>1</v>
      </c>
    </row>
    <row r="109" spans="1:20">
      <c r="B109" s="318" t="s">
        <v>56</v>
      </c>
      <c r="C109" s="225">
        <v>0.5</v>
      </c>
      <c r="D109" s="225">
        <v>0.5714285714285714</v>
      </c>
      <c r="E109" s="225">
        <v>0.64285714285714279</v>
      </c>
      <c r="F109" s="225">
        <v>0.71428571428571419</v>
      </c>
      <c r="G109" s="225">
        <v>0.78571428571428559</v>
      </c>
      <c r="H109" s="225">
        <v>0.85714285714285698</v>
      </c>
      <c r="I109" s="225">
        <v>0.92857142857142838</v>
      </c>
      <c r="J109" s="226">
        <v>1</v>
      </c>
    </row>
    <row r="110" spans="1:20">
      <c r="B110" s="318" t="s">
        <v>50</v>
      </c>
      <c r="C110" s="225">
        <v>0.5</v>
      </c>
      <c r="D110" s="225">
        <v>0.5714285714285714</v>
      </c>
      <c r="E110" s="225">
        <v>0.64285714285714279</v>
      </c>
      <c r="F110" s="225">
        <v>0.71428571428571419</v>
      </c>
      <c r="G110" s="225">
        <v>0.78571428571428559</v>
      </c>
      <c r="H110" s="225">
        <v>0.85714285714285698</v>
      </c>
      <c r="I110" s="225">
        <v>0.92857142857142838</v>
      </c>
      <c r="J110" s="226">
        <v>1</v>
      </c>
    </row>
    <row r="111" spans="1:20">
      <c r="B111" s="318" t="s">
        <v>52</v>
      </c>
      <c r="C111" s="225">
        <v>0.5</v>
      </c>
      <c r="D111" s="225">
        <v>0.5714285714285714</v>
      </c>
      <c r="E111" s="225">
        <v>0.64285714285714279</v>
      </c>
      <c r="F111" s="225">
        <v>0.71428571428571419</v>
      </c>
      <c r="G111" s="225">
        <v>0.78571428571428559</v>
      </c>
      <c r="H111" s="225">
        <v>0.85714285714285698</v>
      </c>
      <c r="I111" s="225">
        <v>0.92857142857142838</v>
      </c>
      <c r="J111" s="226">
        <v>1</v>
      </c>
    </row>
    <row r="112" spans="1:20">
      <c r="B112" s="318" t="s">
        <v>51</v>
      </c>
      <c r="C112" s="225">
        <v>0.5</v>
      </c>
      <c r="D112" s="225">
        <v>0.5714285714285714</v>
      </c>
      <c r="E112" s="225">
        <v>0.64285714285714279</v>
      </c>
      <c r="F112" s="225">
        <v>0.71428571428571419</v>
      </c>
      <c r="G112" s="225">
        <v>0.78571428571428559</v>
      </c>
      <c r="H112" s="225">
        <v>0.85714285714285698</v>
      </c>
      <c r="I112" s="225">
        <v>0.92857142857142838</v>
      </c>
      <c r="J112" s="226">
        <v>1</v>
      </c>
    </row>
    <row r="113" spans="2:15">
      <c r="B113" s="439" t="s">
        <v>49</v>
      </c>
      <c r="C113" s="440">
        <v>0.5</v>
      </c>
      <c r="D113" s="440">
        <v>0.5714285714285714</v>
      </c>
      <c r="E113" s="440">
        <v>0.64285714285714279</v>
      </c>
      <c r="F113" s="440">
        <v>0.71428571428571419</v>
      </c>
      <c r="G113" s="440">
        <v>0.78571428571428559</v>
      </c>
      <c r="H113" s="440">
        <v>0.85714285714285698</v>
      </c>
      <c r="I113" s="440">
        <v>0.92857142857142838</v>
      </c>
      <c r="J113" s="441">
        <v>1</v>
      </c>
    </row>
    <row r="114" spans="2:15">
      <c r="B114" s="318" t="s">
        <v>113</v>
      </c>
      <c r="C114" s="225">
        <v>0.9</v>
      </c>
      <c r="D114" s="225">
        <v>0.9</v>
      </c>
      <c r="E114" s="225">
        <v>0.9</v>
      </c>
      <c r="F114" s="225">
        <v>0.9</v>
      </c>
      <c r="G114" s="225">
        <v>0.9</v>
      </c>
      <c r="H114" s="225">
        <v>0.9</v>
      </c>
      <c r="I114" s="225">
        <v>0.9</v>
      </c>
      <c r="J114" s="226">
        <v>0.9</v>
      </c>
    </row>
    <row r="115" spans="2:15">
      <c r="B115" s="319" t="s">
        <v>114</v>
      </c>
      <c r="C115" s="586"/>
      <c r="D115" s="586"/>
      <c r="E115" s="586"/>
      <c r="F115" s="586"/>
      <c r="G115" s="586"/>
      <c r="H115" s="586"/>
      <c r="I115" s="586"/>
      <c r="J115" s="586"/>
    </row>
    <row r="116" spans="2:15">
      <c r="B116" s="419"/>
      <c r="C116" s="480"/>
      <c r="D116" s="480"/>
      <c r="E116" s="480"/>
      <c r="F116" s="480"/>
      <c r="G116" s="480"/>
      <c r="H116" s="480"/>
      <c r="I116" s="480"/>
      <c r="J116" s="480"/>
      <c r="M116" s="32"/>
      <c r="N116" s="32"/>
      <c r="O116" s="32"/>
    </row>
    <row r="117" spans="2:15">
      <c r="B117" s="419"/>
      <c r="C117" s="480"/>
      <c r="D117" s="480"/>
      <c r="E117" s="480"/>
      <c r="F117" s="480"/>
      <c r="G117" s="480"/>
      <c r="H117" s="480"/>
      <c r="I117" s="480"/>
      <c r="J117" s="480"/>
      <c r="K117" s="381"/>
      <c r="L117" s="381"/>
      <c r="M117" s="32"/>
      <c r="N117" s="32"/>
      <c r="O117" s="32"/>
    </row>
    <row r="118" spans="2:15">
      <c r="B118" s="490" t="s">
        <v>214</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202">
        <f t="shared" si="22"/>
        <v>2023</v>
      </c>
      <c r="M118" s="32"/>
      <c r="N118" s="32"/>
      <c r="O118" s="32"/>
    </row>
    <row r="119" spans="2:15">
      <c r="B119" s="481" t="s">
        <v>43</v>
      </c>
      <c r="C119" s="583"/>
      <c r="D119" s="584"/>
      <c r="E119" s="483">
        <v>1.5575632164737283</v>
      </c>
      <c r="F119" s="483">
        <v>1.4734141240658321</v>
      </c>
      <c r="G119" s="483">
        <v>1.4689588897025405</v>
      </c>
      <c r="H119" s="483">
        <v>1.4707200530126929</v>
      </c>
      <c r="I119" s="483">
        <v>1.4674716260161711</v>
      </c>
      <c r="J119" s="483">
        <v>1.4486206224386007</v>
      </c>
      <c r="K119" s="483">
        <v>1.4956798325868756</v>
      </c>
      <c r="L119" s="484">
        <v>1.4397148718051931</v>
      </c>
      <c r="M119" s="32"/>
      <c r="N119" s="32"/>
      <c r="O119" s="32"/>
    </row>
    <row r="120" spans="2:15">
      <c r="B120" s="481" t="s">
        <v>44</v>
      </c>
      <c r="C120" s="585"/>
      <c r="D120" s="586"/>
      <c r="E120" s="485">
        <v>-0.65871781800535345</v>
      </c>
      <c r="F120" s="485">
        <v>-0.63543772576063684</v>
      </c>
      <c r="G120" s="485">
        <v>-0.58907862874233818</v>
      </c>
      <c r="H120" s="485">
        <v>-0.58178188190178026</v>
      </c>
      <c r="I120" s="485">
        <v>-0.56823918867341305</v>
      </c>
      <c r="J120" s="485">
        <v>-0.51933170333654122</v>
      </c>
      <c r="K120" s="485">
        <v>-0.47962665852661612</v>
      </c>
      <c r="L120" s="486">
        <v>-0.4656874701170608</v>
      </c>
      <c r="M120" s="32"/>
      <c r="N120" s="32"/>
      <c r="O120" s="32"/>
    </row>
    <row r="121" spans="2:15">
      <c r="B121" s="481" t="s">
        <v>73</v>
      </c>
      <c r="C121" s="585"/>
      <c r="D121" s="586"/>
      <c r="E121" s="485">
        <v>-0.86626036283610952</v>
      </c>
      <c r="F121" s="485">
        <v>-0.81019773780890636</v>
      </c>
      <c r="G121" s="485">
        <v>-0.78919084241395188</v>
      </c>
      <c r="H121" s="485">
        <v>-0.79061873066036981</v>
      </c>
      <c r="I121" s="485">
        <v>-0.74432653414361061</v>
      </c>
      <c r="J121" s="485">
        <v>-0.70697274816976396</v>
      </c>
      <c r="K121" s="485">
        <v>-0.65350946162011747</v>
      </c>
      <c r="L121" s="486">
        <v>-0.66429758885743451</v>
      </c>
      <c r="M121" s="32"/>
      <c r="N121" s="32"/>
      <c r="O121" s="32"/>
    </row>
    <row r="122" spans="2:15">
      <c r="B122" s="481" t="s">
        <v>59</v>
      </c>
      <c r="C122" s="585"/>
      <c r="D122" s="586"/>
      <c r="E122" s="485">
        <v>-3.2612134183503572</v>
      </c>
      <c r="F122" s="485">
        <v>-3.3462554451402173</v>
      </c>
      <c r="G122" s="485">
        <v>-3.1732919768141143</v>
      </c>
      <c r="H122" s="485">
        <v>-3.1232404745251841</v>
      </c>
      <c r="I122" s="485">
        <v>-3.0767551306224106</v>
      </c>
      <c r="J122" s="485">
        <v>-2.9342177182087767</v>
      </c>
      <c r="K122" s="485">
        <v>-2.8825938479182072</v>
      </c>
      <c r="L122" s="486">
        <v>-2.7237011003750218</v>
      </c>
      <c r="M122" s="32"/>
      <c r="N122" s="32"/>
      <c r="O122" s="32"/>
    </row>
    <row r="123" spans="2:15">
      <c r="B123" s="481" t="s">
        <v>57</v>
      </c>
      <c r="C123" s="585"/>
      <c r="D123" s="586"/>
      <c r="E123" s="485">
        <v>-2.4260972367898193</v>
      </c>
      <c r="F123" s="485">
        <v>-2.3690383662844163</v>
      </c>
      <c r="G123" s="485">
        <v>-2.2433276600060932</v>
      </c>
      <c r="H123" s="485">
        <v>-2.1466020621213828</v>
      </c>
      <c r="I123" s="485">
        <v>-2.174009678716605</v>
      </c>
      <c r="J123" s="485">
        <v>-2.0538927838998693</v>
      </c>
      <c r="K123" s="485">
        <v>-1.9044581231060691</v>
      </c>
      <c r="L123" s="486">
        <v>-1.8008611131009082</v>
      </c>
      <c r="M123" s="32"/>
      <c r="N123" s="32"/>
      <c r="O123" s="32"/>
    </row>
    <row r="124" spans="2:15">
      <c r="B124" s="481" t="s">
        <v>58</v>
      </c>
      <c r="C124" s="585"/>
      <c r="D124" s="586"/>
      <c r="E124" s="485">
        <v>-2.1861012409352765</v>
      </c>
      <c r="F124" s="485">
        <v>-2.3820447425774849</v>
      </c>
      <c r="G124" s="485">
        <v>-2.2418672366929897</v>
      </c>
      <c r="H124" s="485">
        <v>-2.1147812646907029</v>
      </c>
      <c r="I124" s="485">
        <v>-2.0146177086326591</v>
      </c>
      <c r="J124" s="485">
        <v>-1.9421313262105093</v>
      </c>
      <c r="K124" s="485">
        <v>-1.9248856430948595</v>
      </c>
      <c r="L124" s="486">
        <v>-1.8464451304225615</v>
      </c>
      <c r="M124" s="32"/>
      <c r="N124" s="32"/>
      <c r="O124" s="32"/>
    </row>
    <row r="125" spans="2:15">
      <c r="B125" s="481" t="s">
        <v>45</v>
      </c>
      <c r="C125" s="585"/>
      <c r="D125" s="586"/>
      <c r="E125" s="485">
        <v>-1.8633532543800757</v>
      </c>
      <c r="F125" s="485">
        <v>-1.8182980405067262</v>
      </c>
      <c r="G125" s="485">
        <v>-1.83946756302578</v>
      </c>
      <c r="H125" s="485">
        <v>-1.7415973428180247</v>
      </c>
      <c r="I125" s="485">
        <v>-1.6798002111470465</v>
      </c>
      <c r="J125" s="485">
        <v>-1.5974456358596774</v>
      </c>
      <c r="K125" s="485">
        <v>-1.5016396120831343</v>
      </c>
      <c r="L125" s="486">
        <v>-1.4453638876860204</v>
      </c>
      <c r="M125" s="32"/>
      <c r="N125" s="32"/>
      <c r="O125" s="32"/>
    </row>
    <row r="126" spans="2:15">
      <c r="B126" s="481" t="s">
        <v>46</v>
      </c>
      <c r="C126" s="585"/>
      <c r="D126" s="586"/>
      <c r="E126" s="485">
        <v>-2.1317145269512103</v>
      </c>
      <c r="F126" s="485">
        <v>-2.193973633026753</v>
      </c>
      <c r="G126" s="485">
        <v>-1.9869010217130036</v>
      </c>
      <c r="H126" s="485">
        <v>-1.8037552784318813</v>
      </c>
      <c r="I126" s="485">
        <v>-1.7767942495618843</v>
      </c>
      <c r="J126" s="485">
        <v>-1.7901472583807538</v>
      </c>
      <c r="K126" s="485">
        <v>-1.6444113686346382</v>
      </c>
      <c r="L126" s="486">
        <v>-1.467384504290556</v>
      </c>
      <c r="M126" s="32"/>
      <c r="N126" s="32"/>
      <c r="O126" s="32"/>
    </row>
    <row r="127" spans="2:15">
      <c r="B127" s="481" t="s">
        <v>47</v>
      </c>
      <c r="C127" s="585"/>
      <c r="D127" s="586"/>
      <c r="E127" s="485">
        <v>0.16599721814464838</v>
      </c>
      <c r="F127" s="485">
        <v>0.16631900606776751</v>
      </c>
      <c r="G127" s="485">
        <v>0.16554337895881124</v>
      </c>
      <c r="H127" s="485">
        <v>0.16569741136821181</v>
      </c>
      <c r="I127" s="485">
        <v>0.16622630759870036</v>
      </c>
      <c r="J127" s="485">
        <v>0.16380302414374548</v>
      </c>
      <c r="K127" s="485">
        <v>0.16593344617950709</v>
      </c>
      <c r="L127" s="486">
        <v>0.16036688822048883</v>
      </c>
      <c r="M127" s="32"/>
      <c r="N127" s="32"/>
      <c r="O127" s="32"/>
    </row>
    <row r="128" spans="2:15">
      <c r="B128" s="481" t="s">
        <v>48</v>
      </c>
      <c r="C128" s="585"/>
      <c r="D128" s="586"/>
      <c r="E128" s="485">
        <v>0.3648271976377423</v>
      </c>
      <c r="F128" s="485">
        <v>0.37109083837102003</v>
      </c>
      <c r="G128" s="485">
        <v>0.36071859106606846</v>
      </c>
      <c r="H128" s="485">
        <v>0.35927814835295946</v>
      </c>
      <c r="I128" s="485">
        <v>0.3227419487574148</v>
      </c>
      <c r="J128" s="485">
        <v>0.32139075529498529</v>
      </c>
      <c r="K128" s="485">
        <v>0.32876178406363676</v>
      </c>
      <c r="L128" s="486">
        <v>0.31920430794598709</v>
      </c>
      <c r="M128" s="32"/>
      <c r="N128" s="32"/>
      <c r="O128" s="32"/>
    </row>
    <row r="129" spans="2:15">
      <c r="B129" s="481" t="s">
        <v>246</v>
      </c>
      <c r="C129" s="585"/>
      <c r="D129" s="586"/>
      <c r="E129" s="485">
        <v>7.1281196754416492</v>
      </c>
      <c r="F129" s="485">
        <v>6.9674138399666772</v>
      </c>
      <c r="G129" s="485">
        <v>6.2034025893135132</v>
      </c>
      <c r="H129" s="485">
        <v>6.3085978915797085</v>
      </c>
      <c r="I129" s="485">
        <v>6.2376648400128394</v>
      </c>
      <c r="J129" s="485">
        <v>6.4865819943041139</v>
      </c>
      <c r="K129" s="485">
        <v>6.8152516624832584</v>
      </c>
      <c r="L129" s="486">
        <v>6.6271056201039169</v>
      </c>
      <c r="M129" s="32"/>
      <c r="N129" s="32"/>
      <c r="O129" s="32"/>
    </row>
    <row r="130" spans="2:15">
      <c r="B130" s="481" t="s">
        <v>247</v>
      </c>
      <c r="C130" s="585"/>
      <c r="D130" s="586"/>
      <c r="E130" s="485">
        <v>6.5079014730517413</v>
      </c>
      <c r="F130" s="485">
        <v>6.5166167406950333</v>
      </c>
      <c r="G130" s="485">
        <v>6.3292456496722922</v>
      </c>
      <c r="H130" s="485">
        <v>6.4407397408462082</v>
      </c>
      <c r="I130" s="485">
        <v>6.6367331985058957</v>
      </c>
      <c r="J130" s="485">
        <v>6.7568163761394304</v>
      </c>
      <c r="K130" s="485">
        <v>6.6961234445143969</v>
      </c>
      <c r="L130" s="486">
        <v>6.7647427548792596</v>
      </c>
      <c r="M130" s="32"/>
      <c r="N130" s="32"/>
      <c r="O130" s="32"/>
    </row>
    <row r="131" spans="2:15">
      <c r="B131" s="481" t="s">
        <v>248</v>
      </c>
      <c r="C131" s="585"/>
      <c r="D131" s="586"/>
      <c r="E131" s="485">
        <v>3.6763138465229663</v>
      </c>
      <c r="F131" s="485">
        <v>3.6748350873956013</v>
      </c>
      <c r="G131" s="485">
        <v>3.4998529635433906</v>
      </c>
      <c r="H131" s="485">
        <v>3.724685546648324</v>
      </c>
      <c r="I131" s="485">
        <v>3.4121739487309477</v>
      </c>
      <c r="J131" s="485">
        <v>3.4202241027689042</v>
      </c>
      <c r="K131" s="485">
        <v>3.3053549439575329</v>
      </c>
      <c r="L131" s="486">
        <v>3.3633285641010966</v>
      </c>
      <c r="M131" s="32"/>
      <c r="N131" s="32"/>
      <c r="O131" s="32"/>
    </row>
    <row r="132" spans="2:15">
      <c r="B132" s="481" t="s">
        <v>249</v>
      </c>
      <c r="C132" s="585"/>
      <c r="D132" s="586"/>
      <c r="E132" s="485">
        <v>5.3762701961708466</v>
      </c>
      <c r="F132" s="485">
        <v>5.3775969760840585</v>
      </c>
      <c r="G132" s="485">
        <v>5.2618102801807671</v>
      </c>
      <c r="H132" s="485">
        <v>5.360849180672294</v>
      </c>
      <c r="I132" s="485">
        <v>5.2665238228731912</v>
      </c>
      <c r="J132" s="485">
        <v>5.3271179030285305</v>
      </c>
      <c r="K132" s="485">
        <v>5.3223294006601192</v>
      </c>
      <c r="L132" s="486">
        <v>5.5699880746272257</v>
      </c>
      <c r="M132" s="32"/>
      <c r="N132" s="32"/>
      <c r="O132" s="32"/>
    </row>
    <row r="133" spans="2:15">
      <c r="B133" s="481" t="s">
        <v>53</v>
      </c>
      <c r="C133" s="487">
        <v>1.4371556068940596</v>
      </c>
      <c r="D133" s="485">
        <v>1.3718015630879741</v>
      </c>
      <c r="E133" s="485">
        <v>1.3507660107019517</v>
      </c>
      <c r="F133" s="485">
        <v>1.356812198977974</v>
      </c>
      <c r="G133" s="485">
        <v>1.3598136386487443</v>
      </c>
      <c r="H133" s="485">
        <v>1.3501475065962032</v>
      </c>
      <c r="I133" s="485">
        <v>1.3298433305384654</v>
      </c>
      <c r="J133" s="485">
        <v>1.3174540960763355</v>
      </c>
      <c r="K133" s="586"/>
      <c r="L133" s="587"/>
      <c r="M133" s="32"/>
      <c r="N133" s="32"/>
      <c r="O133" s="32"/>
    </row>
    <row r="134" spans="2:15">
      <c r="B134" s="481" t="s">
        <v>54</v>
      </c>
      <c r="C134" s="487">
        <v>1.2224510767557433</v>
      </c>
      <c r="D134" s="485">
        <v>1.2198157429394254</v>
      </c>
      <c r="E134" s="485">
        <v>1.2942164825881293</v>
      </c>
      <c r="F134" s="485">
        <v>1.2596396269108345</v>
      </c>
      <c r="G134" s="485">
        <v>1.2840112184368913</v>
      </c>
      <c r="H134" s="485">
        <v>1.2678511857965422</v>
      </c>
      <c r="I134" s="485">
        <v>1.2592019055105816</v>
      </c>
      <c r="J134" s="485">
        <v>1.257376658609527</v>
      </c>
      <c r="K134" s="586"/>
      <c r="L134" s="587"/>
      <c r="M134" s="32"/>
      <c r="N134" s="32"/>
      <c r="O134" s="32"/>
    </row>
    <row r="135" spans="2:15">
      <c r="B135" s="481" t="s">
        <v>55</v>
      </c>
      <c r="C135" s="487">
        <v>0.82325002294811445</v>
      </c>
      <c r="D135" s="485">
        <v>0.82663571281128501</v>
      </c>
      <c r="E135" s="485">
        <v>0.79640504595610451</v>
      </c>
      <c r="F135" s="485">
        <v>0.78757021450124798</v>
      </c>
      <c r="G135" s="485">
        <v>0.81133252861207505</v>
      </c>
      <c r="H135" s="485">
        <v>0.81064228783969072</v>
      </c>
      <c r="I135" s="485">
        <v>0.80900368952296353</v>
      </c>
      <c r="J135" s="485">
        <v>0.78043276967968189</v>
      </c>
      <c r="K135" s="586"/>
      <c r="L135" s="587"/>
      <c r="M135" s="32"/>
      <c r="N135" s="32"/>
      <c r="O135" s="32"/>
    </row>
    <row r="136" spans="2:15">
      <c r="B136" s="481" t="s">
        <v>56</v>
      </c>
      <c r="C136" s="487">
        <v>1.0893959849781105</v>
      </c>
      <c r="D136" s="485">
        <v>1.027913194554035</v>
      </c>
      <c r="E136" s="485">
        <v>1.0066987144123654</v>
      </c>
      <c r="F136" s="485">
        <v>1.0192350900597893</v>
      </c>
      <c r="G136" s="485">
        <v>1.0341480780318344</v>
      </c>
      <c r="H136" s="485">
        <v>1.0204240792759967</v>
      </c>
      <c r="I136" s="485">
        <v>1.0137739549704501</v>
      </c>
      <c r="J136" s="485">
        <v>0.9898055017218621</v>
      </c>
      <c r="K136" s="586"/>
      <c r="L136" s="587"/>
      <c r="M136" s="32"/>
      <c r="N136" s="32"/>
      <c r="O136" s="32"/>
    </row>
    <row r="137" spans="2:15">
      <c r="B137" s="481" t="s">
        <v>50</v>
      </c>
      <c r="C137" s="487">
        <v>3.0675250143183739</v>
      </c>
      <c r="D137" s="485">
        <v>3.1629219417602221</v>
      </c>
      <c r="E137" s="485">
        <v>3.2156604222069194</v>
      </c>
      <c r="F137" s="485">
        <v>3.1773534622131239</v>
      </c>
      <c r="G137" s="485">
        <v>2.9925267771957293</v>
      </c>
      <c r="H137" s="485">
        <v>2.9953978987575276</v>
      </c>
      <c r="I137" s="485">
        <v>3.008780645638939</v>
      </c>
      <c r="J137" s="485">
        <v>3.0035530345258876</v>
      </c>
      <c r="K137" s="586"/>
      <c r="L137" s="587"/>
      <c r="M137" s="32"/>
      <c r="N137" s="32"/>
      <c r="O137" s="32"/>
    </row>
    <row r="138" spans="2:15">
      <c r="B138" s="481" t="s">
        <v>52</v>
      </c>
      <c r="C138" s="487">
        <v>2.1240897362733717</v>
      </c>
      <c r="D138" s="485">
        <v>2.0350723340362249</v>
      </c>
      <c r="E138" s="485">
        <v>1.9686998072928457</v>
      </c>
      <c r="F138" s="485">
        <v>2.0858456765056492</v>
      </c>
      <c r="G138" s="485">
        <v>2.1150393198028121</v>
      </c>
      <c r="H138" s="485">
        <v>2.0960407823683633</v>
      </c>
      <c r="I138" s="485">
        <v>1.9709648894580449</v>
      </c>
      <c r="J138" s="485">
        <v>1.9558237270696361</v>
      </c>
      <c r="K138" s="586"/>
      <c r="L138" s="587"/>
      <c r="M138" s="32"/>
      <c r="N138" s="32"/>
      <c r="O138" s="32"/>
    </row>
    <row r="139" spans="2:15">
      <c r="B139" s="481" t="s">
        <v>51</v>
      </c>
      <c r="C139" s="487">
        <v>4.3724011747736116</v>
      </c>
      <c r="D139" s="485">
        <v>4.1057641662653896</v>
      </c>
      <c r="E139" s="485">
        <v>4.0545669929819539</v>
      </c>
      <c r="F139" s="485">
        <v>4.1740927460581894</v>
      </c>
      <c r="G139" s="485">
        <v>4.2397101975440528</v>
      </c>
      <c r="H139" s="485">
        <v>4.2461477210751069</v>
      </c>
      <c r="I139" s="485">
        <v>4.1078523076276792</v>
      </c>
      <c r="J139" s="485">
        <v>4.0575944965475035</v>
      </c>
      <c r="K139" s="586"/>
      <c r="L139" s="587"/>
      <c r="M139" s="32"/>
      <c r="N139" s="32"/>
      <c r="O139" s="32"/>
    </row>
    <row r="140" spans="2:15">
      <c r="B140" s="481" t="s">
        <v>49</v>
      </c>
      <c r="C140" s="487">
        <v>1.3982776671905828</v>
      </c>
      <c r="D140" s="485">
        <v>1.3864649866746799</v>
      </c>
      <c r="E140" s="485">
        <v>1.3673040530931269</v>
      </c>
      <c r="F140" s="485">
        <v>1.3493453776780693</v>
      </c>
      <c r="G140" s="485">
        <v>1.3347777856873293</v>
      </c>
      <c r="H140" s="485">
        <v>1.3354887108693174</v>
      </c>
      <c r="I140" s="485">
        <v>1.3597799661606067</v>
      </c>
      <c r="J140" s="485">
        <v>1.3515240072037848</v>
      </c>
      <c r="K140" s="586"/>
      <c r="L140" s="587"/>
      <c r="M140" s="32"/>
      <c r="N140" s="32"/>
      <c r="O140" s="32"/>
    </row>
    <row r="141" spans="2:15">
      <c r="B141" s="481" t="s">
        <v>113</v>
      </c>
      <c r="C141" s="487">
        <v>-1.1295718210052885</v>
      </c>
      <c r="D141" s="485">
        <v>-1.1444007312827333</v>
      </c>
      <c r="E141" s="485">
        <v>-1.1763817360750841</v>
      </c>
      <c r="F141" s="485">
        <v>-1.5927557463957547</v>
      </c>
      <c r="G141" s="485">
        <v>-1.8565667598967899</v>
      </c>
      <c r="H141" s="485">
        <v>-1.2720416735170972</v>
      </c>
      <c r="I141" s="485">
        <v>-1.1039739947823479</v>
      </c>
      <c r="J141" s="485">
        <v>-1.018311326547777</v>
      </c>
      <c r="K141" s="586"/>
      <c r="L141" s="587"/>
      <c r="M141" s="32"/>
      <c r="N141" s="32"/>
      <c r="O141" s="32"/>
    </row>
    <row r="142" spans="2:15">
      <c r="B142" s="481" t="s">
        <v>114</v>
      </c>
      <c r="C142" s="487">
        <v>-0.43181154987245485</v>
      </c>
      <c r="D142" s="485">
        <v>-0.39947195996305995</v>
      </c>
      <c r="E142" s="485">
        <v>-0.34734317043598018</v>
      </c>
      <c r="F142" s="485">
        <v>-0.3193206524905472</v>
      </c>
      <c r="G142" s="485">
        <v>-0.31265626882301373</v>
      </c>
      <c r="H142" s="485">
        <v>-0.30799379948941219</v>
      </c>
      <c r="I142" s="485">
        <v>-0.32570922921081308</v>
      </c>
      <c r="J142" s="485">
        <v>-0.31552026220892354</v>
      </c>
      <c r="K142" s="586"/>
      <c r="L142" s="587"/>
      <c r="M142" s="32"/>
      <c r="N142" s="32"/>
      <c r="O142" s="32"/>
    </row>
    <row r="143" spans="2:15">
      <c r="B143" s="481" t="s">
        <v>111</v>
      </c>
      <c r="C143" s="487">
        <v>15.168246288518162</v>
      </c>
      <c r="D143" s="485">
        <v>16.275110005972994</v>
      </c>
      <c r="E143" s="485">
        <v>15.614702904478012</v>
      </c>
      <c r="F143" s="485">
        <v>14.911674359737152</v>
      </c>
      <c r="G143" s="485">
        <v>13.033415757853545</v>
      </c>
      <c r="H143" s="485">
        <v>12.556067765830047</v>
      </c>
      <c r="I143" s="485">
        <v>11.285100906339711</v>
      </c>
      <c r="J143" s="485">
        <v>9.8268179419485548</v>
      </c>
      <c r="K143" s="586"/>
      <c r="L143" s="587"/>
      <c r="M143" s="32"/>
      <c r="N143" s="32"/>
      <c r="O143" s="32"/>
    </row>
    <row r="144" spans="2:15">
      <c r="B144" s="481" t="s">
        <v>112</v>
      </c>
      <c r="C144" s="487">
        <v>0.93219394583370063</v>
      </c>
      <c r="D144" s="485">
        <v>0.89969793099769957</v>
      </c>
      <c r="E144" s="485">
        <v>0.87783267686821997</v>
      </c>
      <c r="F144" s="485">
        <v>0.87232109317784756</v>
      </c>
      <c r="G144" s="485">
        <v>0.89875958568159287</v>
      </c>
      <c r="H144" s="485">
        <v>0.82801710222961222</v>
      </c>
      <c r="I144" s="485">
        <v>0.88417658562860901</v>
      </c>
      <c r="J144" s="485">
        <v>0.89982415652833247</v>
      </c>
      <c r="K144" s="586"/>
      <c r="L144" s="587"/>
      <c r="M144" s="32"/>
      <c r="N144" s="32"/>
      <c r="O144" s="32"/>
    </row>
    <row r="145" spans="1:15">
      <c r="B145" s="481" t="s">
        <v>60</v>
      </c>
      <c r="C145" s="487">
        <v>10.952751093909903</v>
      </c>
      <c r="D145" s="485">
        <v>1.3412683602121493</v>
      </c>
      <c r="E145" s="485">
        <v>22.190179414419269</v>
      </c>
      <c r="F145" s="485">
        <v>7.0488483253947072</v>
      </c>
      <c r="G145" s="485">
        <v>6.9020695692988534</v>
      </c>
      <c r="H145" s="485">
        <v>6.9425238085580094</v>
      </c>
      <c r="I145" s="485">
        <v>7.0785069781779111</v>
      </c>
      <c r="J145" s="485">
        <v>5.2688524500291916</v>
      </c>
      <c r="K145" s="586"/>
      <c r="L145" s="587"/>
      <c r="M145" s="32"/>
      <c r="N145" s="32"/>
      <c r="O145" s="32"/>
    </row>
    <row r="146" spans="1:15">
      <c r="B146" s="482" t="s">
        <v>61</v>
      </c>
      <c r="C146" s="488">
        <v>4.7850556060781999</v>
      </c>
      <c r="D146" s="489">
        <v>4.9736597194598335</v>
      </c>
      <c r="E146" s="489">
        <v>5.6988662496343032</v>
      </c>
      <c r="F146" s="489">
        <v>3.7921077312788807</v>
      </c>
      <c r="G146" s="489">
        <v>2.8512563802087829</v>
      </c>
      <c r="H146" s="489">
        <v>2.8799765245720623</v>
      </c>
      <c r="I146" s="489">
        <v>2.9074703511454074</v>
      </c>
      <c r="J146" s="489">
        <v>2.8191074376225309</v>
      </c>
      <c r="K146" s="588"/>
      <c r="L146" s="589"/>
      <c r="M146" s="32"/>
      <c r="N146" s="32"/>
      <c r="O146" s="32"/>
    </row>
    <row r="147" spans="1:15">
      <c r="B147" s="32"/>
      <c r="C147" s="32"/>
      <c r="D147" s="32"/>
      <c r="E147" s="32"/>
      <c r="F147" s="32"/>
      <c r="G147" s="32"/>
      <c r="H147" s="32"/>
      <c r="I147" s="32"/>
      <c r="J147" s="32"/>
      <c r="K147" s="32"/>
      <c r="L147" s="32"/>
      <c r="M147" s="32"/>
      <c r="N147" s="32"/>
      <c r="O147" s="32"/>
    </row>
    <row r="148" spans="1:15">
      <c r="B148" s="419"/>
      <c r="C148" s="381"/>
      <c r="D148" s="381"/>
      <c r="E148" s="381"/>
      <c r="F148" s="381"/>
      <c r="G148" s="381"/>
      <c r="H148" s="381"/>
      <c r="I148" s="381"/>
      <c r="J148" s="381"/>
      <c r="K148" s="32"/>
      <c r="L148" s="32"/>
      <c r="M148" s="32"/>
    </row>
    <row r="149" spans="1:15">
      <c r="B149" s="444" t="str">
        <f>LEFT('RFPR cover'!C6,2)</f>
        <v>ED</v>
      </c>
      <c r="C149" s="442"/>
      <c r="D149" s="442"/>
      <c r="E149" s="442"/>
      <c r="F149" s="442"/>
      <c r="G149" s="442"/>
      <c r="H149" s="442"/>
      <c r="I149" s="442"/>
      <c r="J149" s="442"/>
      <c r="K149" s="442"/>
      <c r="L149" s="443"/>
    </row>
    <row r="150" spans="1:15" ht="14.25" customHeight="1">
      <c r="A150" s="213"/>
      <c r="B150" s="478" t="s">
        <v>402</v>
      </c>
      <c r="C150" s="479"/>
      <c r="D150" s="479"/>
      <c r="E150" s="479"/>
      <c r="F150" s="477"/>
      <c r="G150" s="477"/>
      <c r="H150" s="477"/>
      <c r="I150" s="477"/>
      <c r="J150" s="477"/>
      <c r="K150" s="477"/>
      <c r="L150" s="477"/>
      <c r="M150" s="477"/>
      <c r="N150" s="477"/>
    </row>
    <row r="151" spans="1:15" s="32" customFormat="1" ht="14.25" customHeight="1">
      <c r="A151" s="825"/>
      <c r="B151" s="826"/>
      <c r="C151" s="827"/>
      <c r="D151" s="827"/>
      <c r="E151" s="827"/>
      <c r="F151" s="828"/>
      <c r="G151" s="828"/>
      <c r="H151" s="828"/>
      <c r="I151" s="828"/>
      <c r="J151" s="828"/>
      <c r="K151" s="828"/>
      <c r="L151" s="828"/>
      <c r="M151" s="828"/>
      <c r="N151" s="828"/>
    </row>
    <row r="152" spans="1:15">
      <c r="A152" s="211"/>
      <c r="B152" s="829" t="s">
        <v>408</v>
      </c>
      <c r="C152" s="214"/>
      <c r="D152" s="214"/>
      <c r="E152" s="830" t="b">
        <f>OR((LEFT('RFPR cover'!$C$6,2)=Data!F152),'RFPR cover'!$C$5=Data!F152)</f>
        <v>1</v>
      </c>
      <c r="F152" s="380" t="str">
        <f>B162</f>
        <v>ED</v>
      </c>
      <c r="G152" s="831"/>
    </row>
    <row r="153" spans="1:15">
      <c r="A153" s="211"/>
      <c r="B153" s="846" t="str">
        <f t="shared" ref="B153:B160" si="23">CHOOSE(MATCH(TRUE,$E$152:$E$159,0),B163,B173,B183,E183,B193,E193,B203,E203)&amp;""</f>
        <v>Broad measure of customer service</v>
      </c>
      <c r="C153" s="214"/>
      <c r="D153" s="214"/>
      <c r="E153" s="832" t="b">
        <f>OR((LEFT('RFPR cover'!$C$6,2)=Data!F153),'RFPR cover'!$C$5=Data!F153)</f>
        <v>0</v>
      </c>
      <c r="F153" s="381" t="str">
        <f>B172</f>
        <v>GD</v>
      </c>
      <c r="G153" s="210"/>
    </row>
    <row r="154" spans="1:15" ht="25.5">
      <c r="A154" s="211"/>
      <c r="B154" s="847" t="str">
        <f t="shared" si="23"/>
        <v>Interruptions-related quality of service</v>
      </c>
      <c r="C154" s="214"/>
      <c r="D154" s="214"/>
      <c r="E154" s="832" t="b">
        <f>OR((LEFT('RFPR cover'!$C$6,2)=Data!F154),'RFPR cover'!$C$5=Data!F154)</f>
        <v>0</v>
      </c>
      <c r="F154" s="845" t="str">
        <f>B182</f>
        <v>NGGT (TO)</v>
      </c>
      <c r="G154" s="210"/>
    </row>
    <row r="155" spans="1:15">
      <c r="A155" s="211"/>
      <c r="B155" s="847" t="str">
        <f t="shared" si="23"/>
        <v>Incentive on connections engagement</v>
      </c>
      <c r="C155" s="214"/>
      <c r="D155" s="214"/>
      <c r="E155" s="832" t="b">
        <f>OR((LEFT('RFPR cover'!$C$6,2)=Data!F155),'RFPR cover'!$C$5=Data!F155)</f>
        <v>0</v>
      </c>
      <c r="F155" s="833" t="str">
        <f>E182</f>
        <v>NGGT (SO)</v>
      </c>
      <c r="G155" s="210"/>
    </row>
    <row r="156" spans="1:15">
      <c r="A156" s="211"/>
      <c r="B156" s="847" t="str">
        <f t="shared" si="23"/>
        <v>Time to Connect Incentive</v>
      </c>
      <c r="C156" s="214"/>
      <c r="D156" s="214"/>
      <c r="E156" s="832" t="b">
        <f>OR((LEFT('RFPR cover'!$C$6,2)=Data!F156),'RFPR cover'!$C$5=Data!F156)</f>
        <v>0</v>
      </c>
      <c r="F156" s="833" t="str">
        <f>B192</f>
        <v>NGET (TO)</v>
      </c>
      <c r="G156" s="210"/>
    </row>
    <row r="157" spans="1:15">
      <c r="A157" s="211"/>
      <c r="B157" s="848" t="str">
        <f t="shared" si="23"/>
        <v>Losses discretionary reward scheme</v>
      </c>
      <c r="C157" s="214"/>
      <c r="D157" s="214"/>
      <c r="E157" s="832" t="b">
        <f>OR((LEFT('RFPR cover'!$C$6,2)=Data!F157),'RFPR cover'!$C$5=Data!F157)</f>
        <v>0</v>
      </c>
      <c r="F157" s="833" t="str">
        <f>E192</f>
        <v>NGET (SO)</v>
      </c>
      <c r="G157" s="210"/>
    </row>
    <row r="158" spans="1:15">
      <c r="A158" s="211"/>
      <c r="B158" s="848" t="str">
        <f t="shared" si="23"/>
        <v/>
      </c>
      <c r="C158" s="214"/>
      <c r="D158" s="214"/>
      <c r="E158" s="832" t="b">
        <f>OR((LEFT('RFPR cover'!$C$6,2)=Data!F158),'RFPR cover'!$C$5=Data!F158)</f>
        <v>0</v>
      </c>
      <c r="F158" s="833" t="str">
        <f>B202</f>
        <v>SPT</v>
      </c>
      <c r="G158" s="210"/>
    </row>
    <row r="159" spans="1:15">
      <c r="A159" s="211"/>
      <c r="B159" s="848" t="str">
        <f t="shared" si="23"/>
        <v/>
      </c>
      <c r="C159" s="214"/>
      <c r="D159" s="214"/>
      <c r="E159" s="834" t="b">
        <f>OR((LEFT('RFPR cover'!$C$6,2)=Data!F159),'RFPR cover'!$C$5=Data!F159)</f>
        <v>0</v>
      </c>
      <c r="F159" s="835" t="str">
        <f>E202</f>
        <v>SHET</v>
      </c>
      <c r="G159" s="308"/>
    </row>
    <row r="160" spans="1:15">
      <c r="A160" s="211"/>
      <c r="B160" s="214" t="str">
        <f t="shared" si="23"/>
        <v/>
      </c>
      <c r="C160" s="214"/>
      <c r="D160" s="214"/>
      <c r="E160" s="59"/>
      <c r="F160" s="833"/>
      <c r="G160" s="43"/>
    </row>
    <row r="161" spans="1:7">
      <c r="A161" s="211"/>
      <c r="B161" s="214"/>
      <c r="C161" s="214"/>
      <c r="D161" s="214"/>
      <c r="E161" s="59"/>
      <c r="F161" s="833"/>
      <c r="G161" s="43"/>
    </row>
    <row r="162" spans="1:7" ht="12" customHeight="1">
      <c r="A162" s="211"/>
      <c r="B162" s="958" t="s">
        <v>172</v>
      </c>
      <c r="C162" s="954"/>
      <c r="D162" s="214"/>
      <c r="E162" s="214"/>
    </row>
    <row r="163" spans="1:7">
      <c r="A163" s="211"/>
      <c r="B163" s="959" t="s">
        <v>403</v>
      </c>
      <c r="C163" s="960"/>
      <c r="D163" s="214"/>
      <c r="E163" s="214"/>
    </row>
    <row r="164" spans="1:7">
      <c r="A164" s="211"/>
      <c r="B164" s="959" t="s">
        <v>404</v>
      </c>
      <c r="C164" s="960"/>
      <c r="D164" s="214"/>
      <c r="E164" s="214"/>
    </row>
    <row r="165" spans="1:7">
      <c r="A165" s="211"/>
      <c r="B165" s="961" t="s">
        <v>405</v>
      </c>
      <c r="C165" s="962"/>
      <c r="D165" s="214"/>
      <c r="E165" s="214"/>
    </row>
    <row r="166" spans="1:7">
      <c r="A166" s="211"/>
      <c r="B166" s="961" t="s">
        <v>406</v>
      </c>
      <c r="C166" s="962"/>
      <c r="D166" s="214"/>
      <c r="E166" s="214"/>
    </row>
    <row r="167" spans="1:7">
      <c r="A167" s="211"/>
      <c r="B167" s="961" t="s">
        <v>407</v>
      </c>
      <c r="C167" s="962"/>
      <c r="D167" s="214"/>
      <c r="E167" s="214"/>
    </row>
    <row r="168" spans="1:7">
      <c r="A168" s="211"/>
      <c r="B168" s="961"/>
      <c r="C168" s="962"/>
      <c r="D168" s="214"/>
      <c r="E168" s="214"/>
    </row>
    <row r="169" spans="1:7">
      <c r="A169" s="211"/>
      <c r="B169" s="961"/>
      <c r="C169" s="962"/>
      <c r="D169" s="214"/>
      <c r="E169" s="214"/>
    </row>
    <row r="170" spans="1:7">
      <c r="A170" s="211"/>
      <c r="B170" s="214"/>
      <c r="C170" s="214"/>
      <c r="D170" s="214"/>
      <c r="E170" s="214"/>
    </row>
    <row r="171" spans="1:7">
      <c r="A171" s="211"/>
      <c r="B171" s="214"/>
      <c r="C171" s="214"/>
      <c r="D171" s="214"/>
      <c r="E171" s="214"/>
    </row>
    <row r="172" spans="1:7">
      <c r="A172" s="211"/>
      <c r="B172" s="958" t="s">
        <v>173</v>
      </c>
      <c r="C172" s="954"/>
      <c r="D172" s="214"/>
      <c r="E172" s="214"/>
    </row>
    <row r="173" spans="1:7" ht="12.75" customHeight="1">
      <c r="A173" s="211"/>
      <c r="B173" s="955" t="s">
        <v>223</v>
      </c>
      <c r="C173" s="957"/>
      <c r="D173" s="214"/>
      <c r="E173" s="214"/>
    </row>
    <row r="174" spans="1:7" ht="12.75" customHeight="1">
      <c r="A174" s="211"/>
      <c r="B174" s="949" t="s">
        <v>224</v>
      </c>
      <c r="C174" s="951"/>
      <c r="D174" s="214"/>
      <c r="E174" s="214"/>
    </row>
    <row r="175" spans="1:7" ht="12.75" customHeight="1">
      <c r="A175" s="211"/>
      <c r="B175" s="949" t="s">
        <v>225</v>
      </c>
      <c r="C175" s="951"/>
      <c r="D175" s="214"/>
      <c r="E175" s="214"/>
    </row>
    <row r="176" spans="1:7" ht="12.75" customHeight="1">
      <c r="A176" s="211"/>
      <c r="B176" s="949" t="s">
        <v>226</v>
      </c>
      <c r="C176" s="951"/>
      <c r="D176" s="214"/>
      <c r="E176" s="214"/>
    </row>
    <row r="177" spans="1:9" ht="12.75" customHeight="1">
      <c r="A177" s="211"/>
      <c r="B177" s="946" t="s">
        <v>309</v>
      </c>
      <c r="C177" s="948"/>
      <c r="D177" s="214"/>
      <c r="E177" s="214"/>
    </row>
    <row r="178" spans="1:9" ht="12.75" customHeight="1">
      <c r="A178" s="211"/>
      <c r="B178" s="946"/>
      <c r="C178" s="948"/>
      <c r="D178" s="214"/>
      <c r="E178" s="214"/>
    </row>
    <row r="179" spans="1:9" ht="12.75" customHeight="1">
      <c r="A179" s="211"/>
      <c r="B179" s="946"/>
      <c r="C179" s="948"/>
      <c r="D179" s="214"/>
      <c r="E179" s="214"/>
    </row>
    <row r="180" spans="1:9">
      <c r="A180" s="211"/>
      <c r="B180" s="214"/>
      <c r="C180" s="214"/>
      <c r="D180" s="214"/>
      <c r="E180" s="214"/>
    </row>
    <row r="181" spans="1:9">
      <c r="A181" s="211"/>
      <c r="B181" s="214"/>
      <c r="C181" s="214"/>
      <c r="D181" s="214"/>
      <c r="E181" s="214"/>
    </row>
    <row r="182" spans="1:9">
      <c r="A182" s="211"/>
      <c r="B182" s="952" t="str">
        <f>B95</f>
        <v>NGGT (TO)</v>
      </c>
      <c r="C182" s="986"/>
      <c r="D182" s="214"/>
      <c r="E182" s="952" t="str">
        <f>B96</f>
        <v>NGGT (SO)</v>
      </c>
      <c r="F182" s="953"/>
      <c r="G182" s="953"/>
      <c r="H182" s="953"/>
      <c r="I182" s="954"/>
    </row>
    <row r="183" spans="1:9">
      <c r="A183" s="211"/>
      <c r="B183" s="955" t="s">
        <v>219</v>
      </c>
      <c r="C183" s="957"/>
      <c r="D183" s="214"/>
      <c r="E183" s="949"/>
      <c r="F183" s="950"/>
      <c r="G183" s="950"/>
      <c r="H183" s="950"/>
      <c r="I183" s="951"/>
    </row>
    <row r="184" spans="1:9">
      <c r="A184" s="211"/>
      <c r="B184" s="949" t="s">
        <v>227</v>
      </c>
      <c r="C184" s="951"/>
      <c r="D184" s="214"/>
      <c r="E184" s="949"/>
      <c r="F184" s="950"/>
      <c r="G184" s="950"/>
      <c r="H184" s="950"/>
      <c r="I184" s="951"/>
    </row>
    <row r="185" spans="1:9">
      <c r="A185" s="211"/>
      <c r="B185" s="949"/>
      <c r="C185" s="951"/>
      <c r="D185" s="214"/>
      <c r="E185" s="949"/>
      <c r="F185" s="950"/>
      <c r="G185" s="950"/>
      <c r="H185" s="950"/>
      <c r="I185" s="951"/>
    </row>
    <row r="186" spans="1:9">
      <c r="A186" s="211"/>
      <c r="B186" s="949"/>
      <c r="C186" s="951"/>
      <c r="D186" s="214"/>
      <c r="E186" s="949"/>
      <c r="F186" s="950"/>
      <c r="G186" s="950"/>
      <c r="H186" s="950"/>
      <c r="I186" s="951"/>
    </row>
    <row r="187" spans="1:9">
      <c r="A187" s="211"/>
      <c r="B187" s="946"/>
      <c r="C187" s="948"/>
      <c r="D187" s="214"/>
      <c r="E187" s="946"/>
      <c r="F187" s="947"/>
      <c r="G187" s="947"/>
      <c r="H187" s="947"/>
      <c r="I187" s="948"/>
    </row>
    <row r="188" spans="1:9">
      <c r="A188" s="211"/>
      <c r="B188" s="946"/>
      <c r="C188" s="948"/>
      <c r="D188" s="214"/>
      <c r="E188" s="946"/>
      <c r="F188" s="947"/>
      <c r="G188" s="947"/>
      <c r="H188" s="947"/>
      <c r="I188" s="948"/>
    </row>
    <row r="189" spans="1:9">
      <c r="A189" s="211"/>
      <c r="B189" s="946"/>
      <c r="C189" s="948"/>
      <c r="D189" s="214"/>
      <c r="E189" s="946"/>
      <c r="F189" s="947"/>
      <c r="G189" s="947"/>
      <c r="H189" s="947"/>
      <c r="I189" s="948"/>
    </row>
    <row r="190" spans="1:9">
      <c r="A190" s="211"/>
      <c r="B190" s="214"/>
      <c r="C190" s="214"/>
      <c r="D190" s="214"/>
      <c r="E190" s="214"/>
    </row>
    <row r="191" spans="1:9">
      <c r="A191" s="211"/>
      <c r="B191" s="214"/>
      <c r="C191" s="214"/>
      <c r="D191" s="214"/>
      <c r="E191" s="214"/>
    </row>
    <row r="192" spans="1:9">
      <c r="A192" s="211"/>
      <c r="B192" s="952" t="str">
        <f>B97</f>
        <v>NGET (TO)</v>
      </c>
      <c r="C192" s="986"/>
      <c r="D192" s="214"/>
      <c r="E192" s="952" t="str">
        <f>B98</f>
        <v>NGET (SO)</v>
      </c>
      <c r="F192" s="953"/>
      <c r="G192" s="953"/>
      <c r="H192" s="953"/>
      <c r="I192" s="954"/>
    </row>
    <row r="193" spans="1:9" ht="12.75" customHeight="1">
      <c r="A193" s="211"/>
      <c r="B193" s="955" t="s">
        <v>218</v>
      </c>
      <c r="C193" s="957"/>
      <c r="D193" s="214"/>
      <c r="E193" s="949"/>
      <c r="F193" s="950"/>
      <c r="G193" s="950"/>
      <c r="H193" s="950"/>
      <c r="I193" s="951"/>
    </row>
    <row r="194" spans="1:9" ht="12.75" customHeight="1">
      <c r="A194" s="211"/>
      <c r="B194" s="949" t="s">
        <v>219</v>
      </c>
      <c r="C194" s="951"/>
      <c r="D194" s="214"/>
      <c r="E194" s="949"/>
      <c r="F194" s="950"/>
      <c r="G194" s="950"/>
      <c r="H194" s="950"/>
      <c r="I194" s="951"/>
    </row>
    <row r="195" spans="1:9" ht="12.75" customHeight="1">
      <c r="A195" s="211"/>
      <c r="B195" s="949" t="s">
        <v>220</v>
      </c>
      <c r="C195" s="951"/>
      <c r="D195" s="214"/>
      <c r="E195" s="949"/>
      <c r="F195" s="950"/>
      <c r="G195" s="950"/>
      <c r="H195" s="950"/>
      <c r="I195" s="951"/>
    </row>
    <row r="196" spans="1:9" ht="12.75" customHeight="1">
      <c r="A196" s="211"/>
      <c r="B196" s="949" t="s">
        <v>221</v>
      </c>
      <c r="C196" s="951"/>
      <c r="D196" s="214"/>
      <c r="E196" s="949"/>
      <c r="F196" s="950"/>
      <c r="G196" s="950"/>
      <c r="H196" s="950"/>
      <c r="I196" s="951"/>
    </row>
    <row r="197" spans="1:9" ht="12.75" customHeight="1">
      <c r="A197" s="211"/>
      <c r="B197" s="946"/>
      <c r="C197" s="948"/>
      <c r="D197" s="214"/>
      <c r="E197" s="946"/>
      <c r="F197" s="947"/>
      <c r="G197" s="947"/>
      <c r="H197" s="947"/>
      <c r="I197" s="948"/>
    </row>
    <row r="198" spans="1:9" ht="12.75" customHeight="1">
      <c r="A198" s="211"/>
      <c r="B198" s="946"/>
      <c r="C198" s="948"/>
      <c r="D198" s="214"/>
      <c r="E198" s="946"/>
      <c r="F198" s="947"/>
      <c r="G198" s="947"/>
      <c r="H198" s="947"/>
      <c r="I198" s="948"/>
    </row>
    <row r="199" spans="1:9" ht="12.75" customHeight="1">
      <c r="A199" s="211"/>
      <c r="B199" s="946"/>
      <c r="C199" s="948"/>
      <c r="D199" s="214"/>
      <c r="E199" s="946"/>
      <c r="F199" s="947"/>
      <c r="G199" s="947"/>
      <c r="H199" s="947"/>
      <c r="I199" s="948"/>
    </row>
    <row r="200" spans="1:9" s="32" customFormat="1" ht="12.75" customHeight="1">
      <c r="A200" s="822"/>
      <c r="B200" s="822"/>
      <c r="C200" s="822"/>
      <c r="D200" s="823"/>
      <c r="E200" s="824"/>
      <c r="F200" s="824"/>
      <c r="G200" s="824"/>
      <c r="H200" s="824"/>
      <c r="I200" s="824"/>
    </row>
    <row r="201" spans="1:9" s="32" customFormat="1" ht="12.75" customHeight="1">
      <c r="A201" s="822"/>
      <c r="B201" s="822"/>
      <c r="C201" s="822"/>
      <c r="D201" s="823"/>
      <c r="E201" s="824"/>
      <c r="F201" s="824"/>
      <c r="G201" s="824"/>
      <c r="H201" s="824"/>
      <c r="I201" s="824"/>
    </row>
    <row r="202" spans="1:9">
      <c r="A202" s="211"/>
      <c r="B202" s="952" t="str">
        <f>B145</f>
        <v>SPT</v>
      </c>
      <c r="C202" s="986"/>
      <c r="D202" s="214"/>
      <c r="E202" s="952" t="str">
        <f>B100</f>
        <v>SHET</v>
      </c>
      <c r="F202" s="953"/>
      <c r="G202" s="953"/>
      <c r="H202" s="953"/>
      <c r="I202" s="954"/>
    </row>
    <row r="203" spans="1:9" ht="12.75" customHeight="1">
      <c r="A203" s="211"/>
      <c r="B203" s="955" t="s">
        <v>218</v>
      </c>
      <c r="C203" s="957"/>
      <c r="D203" s="214"/>
      <c r="E203" s="955" t="s">
        <v>218</v>
      </c>
      <c r="F203" s="956"/>
      <c r="G203" s="956"/>
      <c r="H203" s="956"/>
      <c r="I203" s="957"/>
    </row>
    <row r="204" spans="1:9" ht="12.75" customHeight="1">
      <c r="A204" s="211"/>
      <c r="B204" s="949" t="s">
        <v>219</v>
      </c>
      <c r="C204" s="951"/>
      <c r="D204" s="214"/>
      <c r="E204" s="949" t="s">
        <v>219</v>
      </c>
      <c r="F204" s="950"/>
      <c r="G204" s="950"/>
      <c r="H204" s="950"/>
      <c r="I204" s="951"/>
    </row>
    <row r="205" spans="1:9" ht="12.75" customHeight="1">
      <c r="A205" s="211"/>
      <c r="B205" s="949" t="s">
        <v>220</v>
      </c>
      <c r="C205" s="951"/>
      <c r="D205" s="214"/>
      <c r="E205" s="949" t="s">
        <v>220</v>
      </c>
      <c r="F205" s="950"/>
      <c r="G205" s="950"/>
      <c r="H205" s="950"/>
      <c r="I205" s="951"/>
    </row>
    <row r="206" spans="1:9" ht="12.75" customHeight="1">
      <c r="A206" s="211"/>
      <c r="B206" s="949" t="s">
        <v>221</v>
      </c>
      <c r="C206" s="951"/>
      <c r="D206" s="214"/>
      <c r="E206" s="949" t="s">
        <v>221</v>
      </c>
      <c r="F206" s="950"/>
      <c r="G206" s="950"/>
      <c r="H206" s="950"/>
      <c r="I206" s="951"/>
    </row>
    <row r="207" spans="1:9" ht="12.75" customHeight="1">
      <c r="A207" s="211"/>
      <c r="B207" s="946" t="s">
        <v>222</v>
      </c>
      <c r="C207" s="948"/>
      <c r="D207" s="214"/>
      <c r="E207" s="946" t="s">
        <v>222</v>
      </c>
      <c r="F207" s="947"/>
      <c r="G207" s="947"/>
      <c r="H207" s="947"/>
      <c r="I207" s="948"/>
    </row>
    <row r="208" spans="1:9" ht="12.75" customHeight="1">
      <c r="A208" s="211"/>
      <c r="B208" s="946"/>
      <c r="C208" s="948"/>
      <c r="D208" s="214"/>
      <c r="E208" s="946"/>
      <c r="F208" s="947"/>
      <c r="G208" s="947"/>
      <c r="H208" s="947"/>
      <c r="I208" s="948"/>
    </row>
    <row r="209" spans="1:14" ht="12.75" customHeight="1">
      <c r="A209" s="211"/>
      <c r="B209" s="946"/>
      <c r="C209" s="948"/>
      <c r="D209" s="214"/>
      <c r="E209" s="946"/>
      <c r="F209" s="947"/>
      <c r="G209" s="947"/>
      <c r="H209" s="947"/>
      <c r="I209" s="948"/>
    </row>
    <row r="210" spans="1:14">
      <c r="A210" s="211"/>
      <c r="D210" s="214"/>
      <c r="E210" s="214"/>
    </row>
    <row r="211" spans="1:14">
      <c r="A211" s="211"/>
      <c r="D211" s="214"/>
      <c r="E211" s="214"/>
    </row>
    <row r="212" spans="1:14" ht="12.75" customHeight="1">
      <c r="A212" s="211"/>
      <c r="B212" s="985" t="s">
        <v>240</v>
      </c>
      <c r="C212" s="985"/>
      <c r="D212" s="985"/>
      <c r="E212" s="296"/>
      <c r="F212" s="223"/>
      <c r="G212" s="223"/>
      <c r="H212" s="223"/>
      <c r="I212" s="223"/>
      <c r="J212" s="223"/>
      <c r="K212" s="223"/>
      <c r="L212" s="223"/>
      <c r="M212" s="223"/>
      <c r="N212" s="223"/>
    </row>
    <row r="213" spans="1:14">
      <c r="A213" s="211"/>
      <c r="B213" s="214"/>
      <c r="C213" s="214"/>
      <c r="D213" s="214"/>
      <c r="E213" s="214"/>
    </row>
    <row r="214" spans="1:14" ht="25.5">
      <c r="A214" s="211"/>
      <c r="B214" s="216" t="s">
        <v>129</v>
      </c>
      <c r="C214" s="215" t="s">
        <v>208</v>
      </c>
      <c r="D214" s="214"/>
      <c r="E214" s="214"/>
    </row>
    <row r="215" spans="1:14" ht="25.5">
      <c r="A215" s="211"/>
      <c r="B215" s="217" t="s">
        <v>130</v>
      </c>
      <c r="C215" s="301" t="s">
        <v>209</v>
      </c>
      <c r="D215" s="214"/>
      <c r="E215" s="214"/>
    </row>
    <row r="216" spans="1:14">
      <c r="B216" s="320"/>
      <c r="C216" s="43"/>
      <c r="D216" s="43"/>
      <c r="E216" s="43"/>
      <c r="F216" s="43"/>
      <c r="G216" s="43"/>
      <c r="H216" s="43"/>
      <c r="I216" s="43"/>
      <c r="J216" s="43"/>
    </row>
    <row r="217" spans="1:14">
      <c r="B217" s="212"/>
      <c r="I217" s="66"/>
    </row>
    <row r="218" spans="1:14">
      <c r="B218" s="838" t="s">
        <v>410</v>
      </c>
      <c r="I218" s="66"/>
    </row>
    <row r="219" spans="1:14">
      <c r="B219" s="840" t="s">
        <v>290</v>
      </c>
    </row>
    <row r="220" spans="1:14">
      <c r="B220" s="841" t="s">
        <v>289</v>
      </c>
    </row>
    <row r="221" spans="1:14">
      <c r="B221" s="844" t="s">
        <v>287</v>
      </c>
    </row>
    <row r="222" spans="1:14">
      <c r="B222" s="842"/>
    </row>
    <row r="223" spans="1:14">
      <c r="B223" s="221"/>
    </row>
    <row r="224" spans="1:14">
      <c r="B224" s="839" t="s">
        <v>285</v>
      </c>
    </row>
    <row r="225" spans="2:2">
      <c r="B225" s="843" t="s">
        <v>411</v>
      </c>
    </row>
    <row r="226" spans="2:2">
      <c r="B226" s="841" t="s">
        <v>412</v>
      </c>
    </row>
    <row r="227" spans="2:2">
      <c r="B227" s="841" t="s">
        <v>296</v>
      </c>
    </row>
    <row r="228" spans="2:2">
      <c r="B228" s="841" t="s">
        <v>413</v>
      </c>
    </row>
    <row r="229" spans="2:2">
      <c r="B229" s="841" t="s">
        <v>414</v>
      </c>
    </row>
    <row r="230" spans="2:2">
      <c r="B230" s="841" t="s">
        <v>288</v>
      </c>
    </row>
    <row r="231" spans="2:2">
      <c r="B231" s="841" t="s">
        <v>415</v>
      </c>
    </row>
    <row r="232" spans="2:2">
      <c r="B232" s="841"/>
    </row>
    <row r="233" spans="2:2">
      <c r="B233" s="842"/>
    </row>
    <row r="234" spans="2:2">
      <c r="B234" s="221"/>
    </row>
    <row r="235" spans="2:2">
      <c r="B235" s="839" t="s">
        <v>295</v>
      </c>
    </row>
    <row r="236" spans="2:2">
      <c r="B236" s="843" t="s">
        <v>416</v>
      </c>
    </row>
    <row r="237" spans="2:2">
      <c r="B237" s="841" t="s">
        <v>417</v>
      </c>
    </row>
    <row r="238" spans="2:2">
      <c r="B238" s="841" t="s">
        <v>418</v>
      </c>
    </row>
    <row r="239" spans="2:2">
      <c r="B239" s="841" t="s">
        <v>419</v>
      </c>
    </row>
    <row r="240" spans="2:2">
      <c r="B240" s="841" t="s">
        <v>420</v>
      </c>
    </row>
    <row r="241" spans="2:2">
      <c r="B241" s="842"/>
    </row>
    <row r="242" spans="2:2">
      <c r="B242" s="221"/>
    </row>
    <row r="243" spans="2:2">
      <c r="B243" s="839" t="s">
        <v>421</v>
      </c>
    </row>
    <row r="244" spans="2:2">
      <c r="B244" s="843" t="s">
        <v>422</v>
      </c>
    </row>
    <row r="245" spans="2:2">
      <c r="B245" s="841" t="s">
        <v>423</v>
      </c>
    </row>
    <row r="246" spans="2:2">
      <c r="B246" s="842"/>
    </row>
    <row r="247" spans="2:2">
      <c r="B247" s="221"/>
    </row>
    <row r="248" spans="2:2">
      <c r="B248" s="839" t="s">
        <v>424</v>
      </c>
    </row>
    <row r="249" spans="2:2">
      <c r="B249" s="843" t="s">
        <v>465</v>
      </c>
    </row>
    <row r="250" spans="2:2">
      <c r="B250" s="841" t="s">
        <v>464</v>
      </c>
    </row>
    <row r="251" spans="2:2">
      <c r="B251" s="842" t="s">
        <v>270</v>
      </c>
    </row>
    <row r="252" spans="2:2">
      <c r="B252" s="221"/>
    </row>
    <row r="253" spans="2:2">
      <c r="B253" s="839" t="s">
        <v>286</v>
      </c>
    </row>
    <row r="254" spans="2:2">
      <c r="B254" s="843" t="s">
        <v>425</v>
      </c>
    </row>
    <row r="255" spans="2:2">
      <c r="B255" s="841" t="s">
        <v>469</v>
      </c>
    </row>
    <row r="256" spans="2:2">
      <c r="B256" s="841"/>
    </row>
    <row r="257" spans="2:2">
      <c r="B257" s="842"/>
    </row>
    <row r="258" spans="2:2">
      <c r="B258" s="221"/>
    </row>
    <row r="259" spans="2:2">
      <c r="B259" s="839" t="s">
        <v>291</v>
      </c>
    </row>
    <row r="260" spans="2:2">
      <c r="B260" s="843" t="s">
        <v>292</v>
      </c>
    </row>
    <row r="261" spans="2:2">
      <c r="B261" s="841" t="s">
        <v>297</v>
      </c>
    </row>
    <row r="262" spans="2:2">
      <c r="B262" s="841"/>
    </row>
    <row r="263" spans="2:2">
      <c r="B263" s="842"/>
    </row>
    <row r="264" spans="2:2">
      <c r="B264" s="221"/>
    </row>
    <row r="265" spans="2:2">
      <c r="B265" s="839" t="s">
        <v>426</v>
      </c>
    </row>
    <row r="266" spans="2:2">
      <c r="B266" s="843" t="s">
        <v>290</v>
      </c>
    </row>
    <row r="267" spans="2:2">
      <c r="B267" s="841" t="s">
        <v>289</v>
      </c>
    </row>
    <row r="268" spans="2:2">
      <c r="B268" s="842"/>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0" priority="22">
      <formula>AND(#REF!="Actuals",#REF!="Forecast")</formula>
    </cfRule>
  </conditionalFormatting>
  <conditionalFormatting sqref="C47">
    <cfRule type="expression" dxfId="69" priority="20">
      <formula>AND(#REF!="Actuals",#REF!="Forecast")</formula>
    </cfRule>
  </conditionalFormatting>
  <conditionalFormatting sqref="C50:J50">
    <cfRule type="expression" dxfId="68" priority="19">
      <formula>AND(#REF!="Actuals",#REF!="Forecast")</formula>
    </cfRule>
  </conditionalFormatting>
  <conditionalFormatting sqref="B14:D30">
    <cfRule type="cellIs" dxfId="67" priority="16" operator="equal">
      <formula>"Forecast"</formula>
    </cfRule>
  </conditionalFormatting>
  <conditionalFormatting sqref="B23:C30 E24:F27">
    <cfRule type="expression" dxfId="66" priority="113">
      <formula>$D13="Forecast"</formula>
    </cfRule>
  </conditionalFormatting>
  <conditionalFormatting sqref="K71">
    <cfRule type="expression" dxfId="65" priority="7">
      <formula>AND(#REF!="Actuals",#REF!="Forecast")</formula>
    </cfRule>
  </conditionalFormatting>
  <conditionalFormatting sqref="K72:T72">
    <cfRule type="expression" dxfId="64" priority="6">
      <formula>AND(#REF!="Actuals",#REF!="Forecast")</formula>
    </cfRule>
  </conditionalFormatting>
  <conditionalFormatting sqref="C62:L62">
    <cfRule type="expression" dxfId="63" priority="5">
      <formula>AND(#REF!="Actuals",#REF!="Forecast")</formula>
    </cfRule>
  </conditionalFormatting>
  <conditionalFormatting sqref="C118:L118">
    <cfRule type="expression" dxfId="62" priority="3">
      <formula>AND(#REF!="Actuals",#REF!="Forecast")</formula>
    </cfRule>
  </conditionalFormatting>
  <conditionalFormatting sqref="E23">
    <cfRule type="expression" dxfId="61" priority="2">
      <formula>$D13="Forecast"</formula>
    </cfRule>
  </conditionalFormatting>
  <conditionalFormatting sqref="F23">
    <cfRule type="expression" dxfId="60" priority="1">
      <formula>$D13="Forecast"</formula>
    </cfRule>
  </conditionalFormatting>
  <hyperlinks>
    <hyperlink ref="K39" r:id="rId1" display="https://assets.publishing.service.gov.uk/government/uploads/system/uploads/attachment_data/file/801759/PU797_Forecast_for_the_UK_Economy_May_2019_covers.pdf"/>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2"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10"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3.75" customWidth="1"/>
    <col min="3" max="3" width="25.75" customWidth="1"/>
    <col min="4" max="4" width="9.75" customWidth="1"/>
  </cols>
  <sheetData>
    <row r="1" spans="1:14" s="32" customFormat="1" ht="20.25">
      <c r="A1" s="30" t="s">
        <v>83</v>
      </c>
      <c r="B1" s="30"/>
      <c r="C1" s="30"/>
      <c r="D1" s="30"/>
      <c r="E1" s="30"/>
      <c r="F1" s="30"/>
      <c r="G1" s="30"/>
      <c r="H1" s="30"/>
      <c r="I1" s="33" t="s">
        <v>84</v>
      </c>
      <c r="J1" s="34"/>
      <c r="K1" s="34"/>
      <c r="L1" s="34"/>
      <c r="M1" s="34"/>
    </row>
    <row r="2" spans="1:14" s="32" customFormat="1" ht="20.25">
      <c r="A2" s="30" t="str">
        <f>'RFPR cover'!C5</f>
        <v>SPD</v>
      </c>
      <c r="B2" s="30"/>
      <c r="C2" s="30"/>
      <c r="D2" s="30"/>
      <c r="E2" s="30"/>
      <c r="F2" s="30"/>
      <c r="G2" s="30"/>
      <c r="H2" s="30"/>
      <c r="I2" s="34"/>
      <c r="J2" s="34"/>
      <c r="K2" s="34"/>
      <c r="L2" s="34"/>
      <c r="M2" s="34"/>
      <c r="N2" s="381"/>
    </row>
    <row r="3" spans="1:14" s="32" customFormat="1" ht="20.25">
      <c r="A3" s="30">
        <f>'RFPR cover'!C7</f>
        <v>2019</v>
      </c>
      <c r="B3" s="30"/>
      <c r="C3" s="30"/>
      <c r="D3" s="30"/>
      <c r="E3" s="30"/>
      <c r="F3" s="30"/>
      <c r="G3" s="30"/>
      <c r="H3" s="30"/>
      <c r="I3" s="34"/>
      <c r="J3" s="34"/>
      <c r="K3" s="34"/>
      <c r="L3" s="34"/>
      <c r="M3" s="34"/>
      <c r="N3" s="381"/>
    </row>
    <row r="4" spans="1:14">
      <c r="A4" s="24"/>
      <c r="B4" s="24"/>
      <c r="C4" s="24"/>
      <c r="D4" s="24"/>
      <c r="E4" s="24"/>
      <c r="F4" s="24"/>
      <c r="G4" s="24"/>
      <c r="H4" s="24"/>
      <c r="I4" s="570"/>
      <c r="J4" s="570"/>
      <c r="K4" s="570"/>
      <c r="L4" s="570"/>
      <c r="M4" s="570"/>
      <c r="N4" s="43"/>
    </row>
    <row r="5" spans="1:14">
      <c r="A5" s="24"/>
      <c r="B5" s="24"/>
      <c r="C5" s="24"/>
      <c r="D5" s="24"/>
      <c r="E5" s="24"/>
      <c r="F5" s="24"/>
      <c r="G5" s="24"/>
      <c r="H5" s="24"/>
      <c r="I5" s="570"/>
      <c r="J5" s="570"/>
      <c r="K5" s="570"/>
      <c r="L5" s="570"/>
      <c r="M5" s="570"/>
      <c r="N5" s="43"/>
    </row>
    <row r="6" spans="1:14">
      <c r="A6" s="24"/>
      <c r="B6" s="25" t="s">
        <v>85</v>
      </c>
      <c r="C6" s="24"/>
      <c r="D6" s="24"/>
      <c r="E6" s="24"/>
      <c r="F6" s="24"/>
      <c r="G6" s="24"/>
      <c r="H6" s="24"/>
      <c r="I6" s="570"/>
      <c r="J6" s="570"/>
      <c r="K6" s="570"/>
      <c r="L6" s="570"/>
      <c r="M6" s="570"/>
      <c r="N6" s="43"/>
    </row>
    <row r="7" spans="1:14">
      <c r="A7" s="24"/>
      <c r="B7" s="24"/>
      <c r="C7" s="24"/>
      <c r="D7" s="24"/>
      <c r="E7" s="24"/>
      <c r="F7" s="24"/>
      <c r="G7" s="24"/>
      <c r="H7" s="24"/>
      <c r="I7" s="570"/>
      <c r="J7" s="570"/>
      <c r="K7" s="570"/>
      <c r="L7" s="570"/>
      <c r="M7" s="570"/>
      <c r="N7" s="43"/>
    </row>
    <row r="8" spans="1:14">
      <c r="A8" s="24"/>
      <c r="B8" s="48" t="s">
        <v>86</v>
      </c>
      <c r="C8" s="48" t="s">
        <v>87</v>
      </c>
      <c r="D8" s="989" t="s">
        <v>88</v>
      </c>
      <c r="E8" s="990"/>
      <c r="F8" s="990"/>
      <c r="G8" s="990"/>
      <c r="H8" s="990"/>
      <c r="I8" s="570"/>
      <c r="J8" s="570"/>
      <c r="K8" s="570"/>
      <c r="L8" s="570"/>
      <c r="M8" s="570"/>
      <c r="N8" s="43"/>
    </row>
    <row r="9" spans="1:14">
      <c r="A9" s="24"/>
      <c r="B9" s="26" t="s">
        <v>89</v>
      </c>
      <c r="C9" s="47"/>
      <c r="D9" s="987"/>
      <c r="E9" s="988"/>
      <c r="F9" s="988"/>
      <c r="G9" s="988"/>
      <c r="H9" s="988"/>
      <c r="I9" s="24"/>
      <c r="J9" s="24"/>
      <c r="K9" s="24"/>
      <c r="L9" s="24"/>
      <c r="M9" s="24"/>
    </row>
    <row r="10" spans="1:14">
      <c r="A10" s="24"/>
      <c r="B10" s="26" t="s">
        <v>90</v>
      </c>
      <c r="C10" s="47"/>
      <c r="D10" s="987"/>
      <c r="E10" s="988"/>
      <c r="F10" s="988"/>
      <c r="G10" s="988"/>
      <c r="H10" s="988"/>
      <c r="I10" s="24"/>
      <c r="J10" s="24"/>
      <c r="K10" s="24"/>
      <c r="L10" s="24"/>
      <c r="M10" s="24"/>
    </row>
    <row r="11" spans="1:14">
      <c r="A11" s="24"/>
      <c r="B11" s="26" t="s">
        <v>91</v>
      </c>
      <c r="C11" s="47"/>
      <c r="D11" s="987"/>
      <c r="E11" s="988"/>
      <c r="F11" s="988"/>
      <c r="G11" s="988"/>
      <c r="H11" s="988"/>
      <c r="I11" s="24"/>
      <c r="J11" s="24"/>
      <c r="K11" s="24"/>
      <c r="L11" s="24"/>
      <c r="M11" s="24"/>
    </row>
    <row r="12" spans="1:14">
      <c r="A12" s="24"/>
      <c r="B12" s="26" t="s">
        <v>92</v>
      </c>
      <c r="C12" s="47"/>
      <c r="D12" s="987"/>
      <c r="E12" s="988"/>
      <c r="F12" s="988"/>
      <c r="G12" s="988"/>
      <c r="H12" s="988"/>
      <c r="I12" s="24"/>
      <c r="J12" s="24"/>
      <c r="K12" s="24"/>
      <c r="L12" s="24"/>
      <c r="M12" s="24"/>
    </row>
    <row r="13" spans="1:14">
      <c r="A13" s="24"/>
      <c r="B13" s="26" t="s">
        <v>93</v>
      </c>
      <c r="C13" s="47"/>
      <c r="D13" s="987"/>
      <c r="E13" s="988"/>
      <c r="F13" s="988"/>
      <c r="G13" s="988"/>
      <c r="H13" s="988"/>
      <c r="I13" s="24"/>
      <c r="J13" s="24"/>
      <c r="K13" s="24"/>
      <c r="L13" s="24"/>
      <c r="M13" s="24"/>
    </row>
    <row r="14" spans="1:14">
      <c r="A14" s="24"/>
      <c r="B14" s="26" t="s">
        <v>94</v>
      </c>
      <c r="C14" s="47"/>
      <c r="D14" s="987"/>
      <c r="E14" s="988"/>
      <c r="F14" s="988"/>
      <c r="G14" s="988"/>
      <c r="H14" s="988"/>
      <c r="I14" s="24"/>
      <c r="J14" s="24"/>
      <c r="K14" s="24"/>
      <c r="L14" s="24"/>
      <c r="M14" s="24"/>
    </row>
    <row r="15" spans="1:14">
      <c r="A15" s="24"/>
      <c r="B15" s="26" t="s">
        <v>95</v>
      </c>
      <c r="C15" s="47"/>
      <c r="D15" s="987"/>
      <c r="E15" s="988"/>
      <c r="F15" s="988"/>
      <c r="G15" s="988"/>
      <c r="H15" s="988"/>
      <c r="I15" s="24"/>
      <c r="J15" s="24"/>
      <c r="K15" s="24"/>
      <c r="L15" s="24"/>
      <c r="M15" s="24"/>
    </row>
    <row r="16" spans="1:14">
      <c r="A16" s="24"/>
      <c r="B16" s="26" t="s">
        <v>96</v>
      </c>
      <c r="C16" s="47"/>
      <c r="D16" s="987"/>
      <c r="E16" s="988"/>
      <c r="F16" s="988"/>
      <c r="G16" s="988"/>
      <c r="H16" s="988"/>
      <c r="I16" s="24"/>
      <c r="J16" s="24"/>
      <c r="K16" s="24"/>
      <c r="L16" s="24"/>
      <c r="M16" s="24"/>
    </row>
    <row r="17" spans="1:13">
      <c r="A17" s="24"/>
      <c r="B17" s="26" t="s">
        <v>97</v>
      </c>
      <c r="C17" s="47"/>
      <c r="D17" s="987"/>
      <c r="E17" s="988"/>
      <c r="F17" s="988"/>
      <c r="G17" s="988"/>
      <c r="H17" s="988"/>
      <c r="I17" s="24"/>
      <c r="J17" s="24"/>
      <c r="K17" s="24"/>
      <c r="L17" s="24"/>
      <c r="M17" s="24"/>
    </row>
    <row r="18" spans="1:13">
      <c r="A18" s="24"/>
      <c r="B18" s="26" t="s">
        <v>98</v>
      </c>
      <c r="C18" s="47"/>
      <c r="D18" s="987"/>
      <c r="E18" s="988"/>
      <c r="F18" s="988"/>
      <c r="G18" s="988"/>
      <c r="H18" s="988"/>
      <c r="I18" s="24"/>
      <c r="J18" s="24"/>
      <c r="K18" s="24"/>
      <c r="L18" s="24"/>
      <c r="M18" s="24"/>
    </row>
    <row r="19" spans="1:13">
      <c r="A19" s="24"/>
      <c r="B19" s="24"/>
      <c r="C19" s="24"/>
      <c r="D19" s="24"/>
      <c r="E19" s="24"/>
      <c r="F19" s="24"/>
      <c r="G19" s="24"/>
      <c r="H19" s="24"/>
      <c r="I19" s="24"/>
      <c r="J19" s="24"/>
      <c r="K19" s="24"/>
      <c r="L19" s="24"/>
      <c r="M19" s="24"/>
    </row>
    <row r="20" spans="1:13">
      <c r="A20" s="24"/>
      <c r="B20" s="221"/>
      <c r="C20" s="24"/>
      <c r="D20" s="24"/>
      <c r="E20" s="24"/>
      <c r="F20" s="24"/>
      <c r="G20" s="24"/>
      <c r="H20" s="24"/>
      <c r="I20" s="24"/>
      <c r="J20" s="24"/>
      <c r="K20" s="24"/>
      <c r="L20" s="24"/>
    </row>
    <row r="21" spans="1:13">
      <c r="A21" s="24"/>
      <c r="B21" s="297" t="s">
        <v>263</v>
      </c>
      <c r="C21" s="24"/>
      <c r="D21" s="24"/>
      <c r="E21" s="24"/>
      <c r="F21" s="24"/>
      <c r="G21" s="24"/>
      <c r="H21" s="24"/>
      <c r="I21" s="24"/>
      <c r="J21" s="24"/>
      <c r="K21" s="24"/>
      <c r="L21" s="24"/>
    </row>
    <row r="22" spans="1:13">
      <c r="A22" s="24"/>
      <c r="B22" s="297" t="s">
        <v>119</v>
      </c>
      <c r="C22" s="24"/>
      <c r="D22" s="24"/>
      <c r="E22" s="24"/>
      <c r="F22" s="24"/>
      <c r="G22" s="24"/>
      <c r="H22" s="24"/>
      <c r="I22" s="24"/>
      <c r="J22" s="24"/>
      <c r="K22" s="24"/>
      <c r="L22" s="24"/>
    </row>
    <row r="23" spans="1:13">
      <c r="A23" s="24"/>
      <c r="B23" s="297" t="s">
        <v>264</v>
      </c>
      <c r="C23" s="24"/>
      <c r="D23" s="24"/>
      <c r="E23" s="24"/>
      <c r="F23" s="24"/>
      <c r="G23" s="24"/>
      <c r="H23" s="24"/>
      <c r="I23" s="24"/>
      <c r="J23" s="24"/>
      <c r="K23" s="24"/>
      <c r="L23" s="24"/>
    </row>
    <row r="24" spans="1:13">
      <c r="B24" s="297" t="s">
        <v>99</v>
      </c>
    </row>
    <row r="25" spans="1:13">
      <c r="B25" s="297" t="s">
        <v>262</v>
      </c>
    </row>
    <row r="26" spans="1:13">
      <c r="B26" s="297" t="s">
        <v>100</v>
      </c>
    </row>
    <row r="27" spans="1:13">
      <c r="B27" s="297" t="s">
        <v>265</v>
      </c>
    </row>
    <row r="28" spans="1:13">
      <c r="B28" s="297" t="s">
        <v>281</v>
      </c>
    </row>
    <row r="29" spans="1:13">
      <c r="B29" s="297" t="s">
        <v>237</v>
      </c>
    </row>
    <row r="30" spans="1:13">
      <c r="B30" s="297" t="s">
        <v>284</v>
      </c>
    </row>
    <row r="31" spans="1:13">
      <c r="B31" s="297" t="s">
        <v>101</v>
      </c>
    </row>
    <row r="32" spans="1:13">
      <c r="B32" s="297" t="s">
        <v>261</v>
      </c>
    </row>
    <row r="33" spans="2:2">
      <c r="B33" s="297" t="s">
        <v>266</v>
      </c>
    </row>
    <row r="34" spans="2:2">
      <c r="B34" s="297" t="s">
        <v>259</v>
      </c>
    </row>
    <row r="35" spans="2:2">
      <c r="B35" s="297"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A6" sqref="A6"/>
    </sheetView>
  </sheetViews>
  <sheetFormatPr defaultRowHeight="12.75"/>
  <cols>
    <col min="1" max="1" width="19.125" bestFit="1" customWidth="1"/>
    <col min="2" max="2" width="12.125" bestFit="1" customWidth="1"/>
    <col min="3" max="3" width="104.125" customWidth="1"/>
    <col min="4" max="4" width="35.5" customWidth="1"/>
  </cols>
  <sheetData>
    <row r="1" spans="1:4" s="32" customFormat="1" ht="20.25">
      <c r="A1" s="30" t="s">
        <v>121</v>
      </c>
      <c r="B1" s="30"/>
      <c r="C1" s="30"/>
      <c r="D1" s="30"/>
    </row>
    <row r="2" spans="1:4" s="32" customFormat="1" ht="20.25">
      <c r="A2" s="30" t="str">
        <f>'RFPR cover'!C5</f>
        <v>SPD</v>
      </c>
      <c r="B2" s="30"/>
      <c r="C2" s="30"/>
      <c r="D2" s="30"/>
    </row>
    <row r="3" spans="1:4" s="32" customFormat="1" ht="20.25">
      <c r="A3" s="30">
        <f>'RFPR cover'!C7</f>
        <v>2019</v>
      </c>
      <c r="B3" s="30"/>
      <c r="C3" s="30"/>
      <c r="D3" s="30"/>
    </row>
    <row r="4" spans="1:4" s="32" customFormat="1" ht="20.25">
      <c r="A4" s="871"/>
      <c r="B4" s="871"/>
      <c r="C4" s="871"/>
      <c r="D4" s="871"/>
    </row>
    <row r="5" spans="1:4" ht="30">
      <c r="A5" s="868" t="s">
        <v>448</v>
      </c>
      <c r="B5" s="869" t="s">
        <v>449</v>
      </c>
      <c r="C5" s="870" t="s">
        <v>450</v>
      </c>
    </row>
    <row r="6" spans="1:4">
      <c r="A6" s="350"/>
      <c r="B6" s="879"/>
      <c r="C6" s="886"/>
    </row>
    <row r="7" spans="1:4">
      <c r="A7" s="350"/>
      <c r="B7" s="879"/>
      <c r="C7" s="886"/>
    </row>
    <row r="8" spans="1:4">
      <c r="A8" s="350"/>
      <c r="B8" s="877"/>
      <c r="C8" s="885"/>
    </row>
    <row r="9" spans="1:4">
      <c r="A9" s="350"/>
      <c r="B9" s="877"/>
      <c r="C9" s="885"/>
    </row>
    <row r="10" spans="1:4">
      <c r="A10" s="351"/>
      <c r="B10" s="877"/>
      <c r="C10" s="885"/>
    </row>
    <row r="11" spans="1:4">
      <c r="A11" s="351"/>
      <c r="B11" s="877"/>
      <c r="C11" s="885"/>
    </row>
    <row r="12" spans="1:4">
      <c r="A12" s="351"/>
      <c r="B12" s="877"/>
      <c r="C12" s="885"/>
    </row>
    <row r="13" spans="1:4">
      <c r="A13" s="351"/>
      <c r="B13" s="877"/>
      <c r="C13" s="885"/>
    </row>
    <row r="14" spans="1:4">
      <c r="A14" s="351"/>
      <c r="B14" s="877"/>
      <c r="C14" s="885"/>
    </row>
    <row r="15" spans="1:4">
      <c r="A15" s="351"/>
      <c r="B15" s="877"/>
      <c r="C15" s="885"/>
    </row>
    <row r="16" spans="1:4">
      <c r="A16" s="351"/>
      <c r="B16" s="877"/>
      <c r="C16" s="885"/>
    </row>
    <row r="17" spans="1:3">
      <c r="A17" s="351"/>
      <c r="B17" s="877"/>
      <c r="C17" s="298"/>
    </row>
    <row r="18" spans="1:3">
      <c r="A18" s="351"/>
      <c r="B18" s="877"/>
      <c r="C18" s="298"/>
    </row>
    <row r="19" spans="1:3">
      <c r="A19" s="351"/>
      <c r="B19" s="877"/>
      <c r="C19" s="298"/>
    </row>
    <row r="20" spans="1:3">
      <c r="A20" s="351"/>
      <c r="B20" s="877"/>
      <c r="C20" s="298"/>
    </row>
    <row r="21" spans="1:3">
      <c r="A21" s="351"/>
      <c r="B21" s="877"/>
      <c r="C21" s="298"/>
    </row>
    <row r="22" spans="1:3">
      <c r="A22" s="351"/>
      <c r="B22" s="877"/>
      <c r="C22" s="298"/>
    </row>
    <row r="23" spans="1:3">
      <c r="A23" s="351"/>
      <c r="B23" s="877"/>
      <c r="C23" s="298"/>
    </row>
    <row r="24" spans="1:3">
      <c r="A24" s="351"/>
      <c r="B24" s="877"/>
      <c r="C24" s="298"/>
    </row>
    <row r="25" spans="1:3">
      <c r="A25" s="351"/>
      <c r="B25" s="877"/>
      <c r="C25" s="298"/>
    </row>
    <row r="26" spans="1:3">
      <c r="A26" s="351"/>
      <c r="B26" s="877"/>
      <c r="C26" s="298"/>
    </row>
    <row r="27" spans="1:3">
      <c r="A27" s="351"/>
      <c r="B27" s="877"/>
      <c r="C27" s="298"/>
    </row>
    <row r="28" spans="1:3">
      <c r="A28" s="351"/>
      <c r="B28" s="877"/>
      <c r="C28" s="298"/>
    </row>
    <row r="29" spans="1:3">
      <c r="A29" s="351"/>
      <c r="B29" s="877"/>
      <c r="C29" s="298"/>
    </row>
    <row r="30" spans="1:3">
      <c r="A30" s="351"/>
      <c r="B30" s="877"/>
      <c r="C30" s="298"/>
    </row>
    <row r="31" spans="1:3">
      <c r="A31" s="351"/>
      <c r="B31" s="877"/>
      <c r="C31" s="899"/>
    </row>
    <row r="32" spans="1:3">
      <c r="A32" s="351"/>
      <c r="B32" s="877"/>
      <c r="C32" s="298"/>
    </row>
    <row r="33" spans="1:3">
      <c r="A33" s="351"/>
      <c r="B33" s="877"/>
      <c r="C33" s="298"/>
    </row>
    <row r="34" spans="1:3">
      <c r="A34" s="352"/>
      <c r="B34" s="877"/>
      <c r="C34" s="298"/>
    </row>
    <row r="35" spans="1:3">
      <c r="A35" s="352"/>
      <c r="B35" s="902"/>
      <c r="C35" s="298"/>
    </row>
    <row r="36" spans="1:3">
      <c r="A36" s="352"/>
      <c r="B36" s="902"/>
      <c r="C36" s="298"/>
    </row>
    <row r="37" spans="1:3">
      <c r="A37" s="352"/>
      <c r="B37" s="902"/>
      <c r="C37" s="298"/>
    </row>
    <row r="38" spans="1:3">
      <c r="A38" s="352"/>
      <c r="B38" s="902"/>
      <c r="C38" s="298"/>
    </row>
    <row r="39" spans="1:3">
      <c r="A39" s="351"/>
      <c r="B39" s="902"/>
      <c r="C39" s="298"/>
    </row>
    <row r="40" spans="1:3">
      <c r="A40" s="352"/>
      <c r="B40" s="902"/>
      <c r="C40" s="298"/>
    </row>
    <row r="41" spans="1:3">
      <c r="A41" s="352"/>
      <c r="B41" s="902"/>
      <c r="C41" s="298"/>
    </row>
    <row r="42" spans="1:3">
      <c r="A42" s="352"/>
      <c r="B42" s="902"/>
      <c r="C42" s="298"/>
    </row>
    <row r="43" spans="1:3">
      <c r="A43" s="352"/>
      <c r="B43" s="877"/>
      <c r="C43" s="298"/>
    </row>
    <row r="44" spans="1:3">
      <c r="A44" s="352"/>
      <c r="B44" s="877"/>
      <c r="C44" s="298"/>
    </row>
    <row r="45" spans="1:3">
      <c r="A45" s="352"/>
      <c r="B45" s="877"/>
      <c r="C45" s="298"/>
    </row>
    <row r="46" spans="1:3">
      <c r="A46" s="352"/>
      <c r="B46" s="877"/>
      <c r="C46" s="298"/>
    </row>
    <row r="47" spans="1:3">
      <c r="A47" s="352"/>
      <c r="B47" s="877"/>
      <c r="C47" s="298"/>
    </row>
    <row r="48" spans="1:3">
      <c r="A48" s="352"/>
      <c r="B48" s="877"/>
      <c r="C48" s="298"/>
    </row>
    <row r="49" spans="1:3">
      <c r="A49" s="352"/>
      <c r="B49" s="877"/>
      <c r="C49" s="298"/>
    </row>
    <row r="50" spans="1:3">
      <c r="A50" s="352"/>
      <c r="B50" s="877"/>
      <c r="C50" s="298"/>
    </row>
    <row r="51" spans="1:3">
      <c r="A51" s="352"/>
      <c r="B51" s="877"/>
      <c r="C51" s="298"/>
    </row>
    <row r="52" spans="1:3">
      <c r="A52" s="352"/>
      <c r="B52" s="877"/>
      <c r="C52" s="298"/>
    </row>
    <row r="53" spans="1:3">
      <c r="A53" s="352"/>
      <c r="B53" s="909"/>
      <c r="C53" s="910"/>
    </row>
    <row r="54" spans="1:3">
      <c r="A54" s="352"/>
      <c r="B54" s="877"/>
      <c r="C54" s="298"/>
    </row>
    <row r="55" spans="1:3">
      <c r="A55" s="352"/>
      <c r="B55" s="877"/>
      <c r="C55" s="298"/>
    </row>
    <row r="56" spans="1:3">
      <c r="A56" s="352"/>
      <c r="B56" s="877"/>
      <c r="C56" s="298"/>
    </row>
    <row r="57" spans="1:3">
      <c r="A57" s="352"/>
      <c r="B57" s="877"/>
      <c r="C57" s="298"/>
    </row>
    <row r="58" spans="1:3">
      <c r="A58" s="352"/>
      <c r="B58" s="877"/>
      <c r="C58" s="899"/>
    </row>
    <row r="59" spans="1:3">
      <c r="A59" s="353"/>
      <c r="B59" s="878"/>
      <c r="C59" s="299"/>
    </row>
    <row r="60" spans="1:3">
      <c r="A60" s="353"/>
      <c r="B60" s="878"/>
      <c r="C60" s="299"/>
    </row>
    <row r="61" spans="1:3">
      <c r="A61" s="353"/>
      <c r="B61" s="878"/>
      <c r="C61" s="299"/>
    </row>
    <row r="62" spans="1:3">
      <c r="A62" s="353"/>
      <c r="B62" s="878"/>
      <c r="C62" s="299"/>
    </row>
    <row r="63" spans="1:3">
      <c r="A63" s="353"/>
      <c r="B63" s="878"/>
      <c r="C63" s="299"/>
    </row>
    <row r="64" spans="1:3">
      <c r="A64" s="353"/>
      <c r="B64" s="878"/>
      <c r="C64" s="299"/>
    </row>
    <row r="65" spans="1:3">
      <c r="A65" s="353"/>
      <c r="B65" s="878"/>
      <c r="C65" s="299"/>
    </row>
    <row r="66" spans="1:3">
      <c r="A66" s="353"/>
      <c r="B66" s="878"/>
      <c r="C66" s="299"/>
    </row>
  </sheetData>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O66"/>
  <sheetViews>
    <sheetView showGridLines="0" tabSelected="1"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3.375" style="204" customWidth="1"/>
    <col min="3" max="3" width="13.375" style="43" customWidth="1"/>
    <col min="4" max="11" width="9.125" customWidth="1"/>
    <col min="12" max="12" width="3.625" customWidth="1"/>
    <col min="13" max="14" width="13.75" customWidth="1"/>
    <col min="15" max="15" width="5.125" customWidth="1"/>
  </cols>
  <sheetData>
    <row r="1" spans="1:15" s="32" customFormat="1" ht="20.25">
      <c r="A1" s="378" t="s">
        <v>239</v>
      </c>
      <c r="B1" s="382"/>
      <c r="C1" s="265"/>
      <c r="D1" s="265"/>
      <c r="E1" s="265"/>
      <c r="F1" s="265"/>
      <c r="G1" s="265"/>
      <c r="H1" s="265"/>
      <c r="I1" s="266"/>
      <c r="J1" s="266"/>
      <c r="K1" s="267"/>
      <c r="L1" s="267"/>
      <c r="M1" s="267"/>
      <c r="N1" s="267"/>
      <c r="O1" s="383" t="s">
        <v>84</v>
      </c>
    </row>
    <row r="2" spans="1:15" s="32" customFormat="1" ht="20.25">
      <c r="A2" s="124" t="str">
        <f>'RFPR cover'!C5</f>
        <v>SPD</v>
      </c>
      <c r="B2" s="203"/>
      <c r="C2" s="30"/>
      <c r="D2" s="30"/>
      <c r="E2" s="30"/>
      <c r="F2" s="30"/>
      <c r="G2" s="30"/>
      <c r="H2" s="30"/>
      <c r="I2" s="27"/>
      <c r="J2" s="27"/>
      <c r="K2" s="27"/>
      <c r="L2" s="27"/>
      <c r="M2" s="27"/>
      <c r="N2" s="27"/>
      <c r="O2" s="125"/>
    </row>
    <row r="3" spans="1:15" s="32" customFormat="1" ht="23.25">
      <c r="A3" s="269">
        <f>'RFPR cover'!C7</f>
        <v>2019</v>
      </c>
      <c r="B3" s="937" t="str">
        <f>IF('RFPR cover'!C5=Data!B98,"Not required to be completed for System Operator",(IF('RFPR cover'!C5=Data!B96,"Not required to be completed for Syestem Operator","")))</f>
        <v/>
      </c>
      <c r="C3" s="270"/>
      <c r="D3" s="270"/>
      <c r="E3" s="270"/>
      <c r="F3" s="270"/>
      <c r="G3" s="270"/>
      <c r="H3" s="270"/>
      <c r="I3" s="263"/>
      <c r="J3" s="263"/>
      <c r="K3" s="263"/>
      <c r="L3" s="263"/>
      <c r="M3" s="263"/>
      <c r="N3" s="263"/>
      <c r="O3" s="271"/>
    </row>
    <row r="4" spans="1:15" ht="12.75" customHeight="1"/>
    <row r="5" spans="1:15">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c r="L5" s="2"/>
      <c r="M5" s="2"/>
    </row>
    <row r="6" spans="1:15" ht="31.5" customHeight="1">
      <c r="C6" s="179"/>
      <c r="D6" s="117">
        <f>'RFPR cover'!$C$13</f>
        <v>2016</v>
      </c>
      <c r="E6" s="118">
        <f>D6+1</f>
        <v>2017</v>
      </c>
      <c r="F6" s="118">
        <f t="shared" ref="F6:K6" si="0">E6+1</f>
        <v>2018</v>
      </c>
      <c r="G6" s="118">
        <f t="shared" si="0"/>
        <v>2019</v>
      </c>
      <c r="H6" s="118">
        <f t="shared" si="0"/>
        <v>2020</v>
      </c>
      <c r="I6" s="118">
        <f t="shared" si="0"/>
        <v>2021</v>
      </c>
      <c r="J6" s="118">
        <f t="shared" si="0"/>
        <v>2022</v>
      </c>
      <c r="K6" s="202">
        <f t="shared" si="0"/>
        <v>2023</v>
      </c>
      <c r="L6" s="50"/>
      <c r="M6" s="101" t="str">
        <f>"Cumulative to "&amp;'RFPR cover'!$C$7</f>
        <v>Cumulative to 2019</v>
      </c>
      <c r="N6" s="201" t="s">
        <v>109</v>
      </c>
    </row>
    <row r="7" spans="1:15">
      <c r="C7" s="179"/>
      <c r="D7" s="179"/>
      <c r="E7" s="179"/>
      <c r="F7" s="179"/>
      <c r="G7" s="179"/>
      <c r="H7" s="179"/>
      <c r="I7" s="179"/>
      <c r="J7" s="179"/>
      <c r="K7" s="179"/>
      <c r="L7" s="179"/>
      <c r="M7" s="179"/>
      <c r="N7" s="179"/>
      <c r="O7" s="179"/>
    </row>
    <row r="8" spans="1:15">
      <c r="B8" s="553" t="s">
        <v>108</v>
      </c>
      <c r="C8" s="445"/>
      <c r="D8" s="445"/>
      <c r="E8" s="445"/>
      <c r="F8" s="445"/>
      <c r="G8" s="445"/>
      <c r="H8" s="445"/>
      <c r="I8" s="445"/>
      <c r="J8" s="445"/>
      <c r="K8" s="445"/>
      <c r="L8" s="554"/>
      <c r="M8" s="223"/>
      <c r="N8" s="223"/>
      <c r="O8" s="223"/>
    </row>
    <row r="9" spans="1:15">
      <c r="B9" s="205"/>
      <c r="D9" s="43"/>
      <c r="E9" s="43"/>
      <c r="F9" s="43"/>
      <c r="G9" s="43"/>
      <c r="H9" s="43"/>
      <c r="I9" s="43"/>
      <c r="J9" s="43"/>
      <c r="K9" s="43"/>
      <c r="L9" s="50"/>
    </row>
    <row r="10" spans="1:15">
      <c r="B10" s="258" t="s">
        <v>215</v>
      </c>
      <c r="C10" s="260" t="s">
        <v>7</v>
      </c>
      <c r="D10" s="529">
        <f t="shared" ref="D10:K19" si="1">D48/D$65</f>
        <v>0.06</v>
      </c>
      <c r="E10" s="531">
        <f t="shared" si="1"/>
        <v>0.06</v>
      </c>
      <c r="F10" s="531">
        <f t="shared" si="1"/>
        <v>5.9999999999999991E-2</v>
      </c>
      <c r="G10" s="531">
        <f t="shared" si="1"/>
        <v>5.9999999999999991E-2</v>
      </c>
      <c r="H10" s="531">
        <f t="shared" si="1"/>
        <v>6.0000000000000005E-2</v>
      </c>
      <c r="I10" s="531">
        <f t="shared" si="1"/>
        <v>0.06</v>
      </c>
      <c r="J10" s="531">
        <f t="shared" si="1"/>
        <v>5.9999999999999991E-2</v>
      </c>
      <c r="K10" s="530">
        <f t="shared" si="1"/>
        <v>0.06</v>
      </c>
      <c r="L10" s="180"/>
      <c r="M10" s="529">
        <f>AVERAGE(D48:INDEX(D48:K48,0,MATCH('RFPR cover'!$C$7,$D$6:$K$6,0)))/AVERAGE($D$65:INDEX($D$65:$K$65,0,MATCH('RFPR cover'!$C$7,$D$6:$K$6,0)))</f>
        <v>0.06</v>
      </c>
      <c r="N10" s="530">
        <f>AVERAGE(D48:K48)/AVERAGE($D$65:$K$65)</f>
        <v>6.0000000000000012E-2</v>
      </c>
    </row>
    <row r="11" spans="1:15">
      <c r="B11" s="258" t="str">
        <f t="shared" ref="B11:B18" si="2">B49</f>
        <v>Totex outperformance</v>
      </c>
      <c r="C11" s="260" t="s">
        <v>7</v>
      </c>
      <c r="D11" s="182">
        <f t="shared" si="1"/>
        <v>0</v>
      </c>
      <c r="E11" s="183">
        <f t="shared" si="1"/>
        <v>0</v>
      </c>
      <c r="F11" s="183">
        <f t="shared" si="1"/>
        <v>0</v>
      </c>
      <c r="G11" s="183">
        <f t="shared" si="1"/>
        <v>0</v>
      </c>
      <c r="H11" s="183">
        <f t="shared" si="1"/>
        <v>0</v>
      </c>
      <c r="I11" s="183">
        <f t="shared" si="1"/>
        <v>0</v>
      </c>
      <c r="J11" s="183">
        <f t="shared" si="1"/>
        <v>0</v>
      </c>
      <c r="K11" s="184">
        <f t="shared" si="1"/>
        <v>0</v>
      </c>
      <c r="L11" s="180"/>
      <c r="M11" s="529">
        <f>AVERAGE(D49:INDEX(D49:K49,0,MATCH('RFPR cover'!$C$7,$D$6:$K$6,0)))/AVERAGE($D$65:INDEX($D$65:$K$65,0,MATCH('RFPR cover'!$C$7,$D$6:$K$6,0)))</f>
        <v>0</v>
      </c>
      <c r="N11" s="530">
        <f t="shared" ref="N11:N19" si="3">AVERAGE(D49:K49)/AVERAGE($D$65:$K$65)</f>
        <v>0</v>
      </c>
    </row>
    <row r="12" spans="1:15">
      <c r="B12" s="258" t="str">
        <f t="shared" si="2"/>
        <v>IQI Reward</v>
      </c>
      <c r="C12" s="260" t="s">
        <v>7</v>
      </c>
      <c r="D12" s="182">
        <f t="shared" si="1"/>
        <v>-3.5554732200136301E-3</v>
      </c>
      <c r="E12" s="183">
        <f t="shared" si="1"/>
        <v>-3.4439814322903164E-3</v>
      </c>
      <c r="F12" s="183">
        <f t="shared" si="1"/>
        <v>-3.4453614630722811E-3</v>
      </c>
      <c r="G12" s="183">
        <f t="shared" si="1"/>
        <v>-3.2095761227182227E-3</v>
      </c>
      <c r="H12" s="183">
        <f t="shared" si="1"/>
        <v>-3.0438209206805097E-3</v>
      </c>
      <c r="I12" s="183">
        <f t="shared" si="1"/>
        <v>-2.8652187349110327E-3</v>
      </c>
      <c r="J12" s="183">
        <f t="shared" si="1"/>
        <v>-2.6894694506718682E-3</v>
      </c>
      <c r="K12" s="184">
        <f t="shared" si="1"/>
        <v>-2.6020452820140721E-3</v>
      </c>
      <c r="L12" s="180"/>
      <c r="M12" s="529">
        <f>AVERAGE(D50:INDEX(D50:K50,0,MATCH('RFPR cover'!$C$7,$D$6:$K$6,0)))/AVERAGE($D$65:INDEX($D$65:$K$65,0,MATCH('RFPR cover'!$C$7,$D$6:$K$6,0)))</f>
        <v>-3.412022445327424E-3</v>
      </c>
      <c r="N12" s="530">
        <f t="shared" si="3"/>
        <v>-3.0991827157494101E-3</v>
      </c>
    </row>
    <row r="13" spans="1:15">
      <c r="B13" s="258" t="str">
        <f t="shared" si="2"/>
        <v>Broad measure of customer service</v>
      </c>
      <c r="C13" s="260" t="s">
        <v>7</v>
      </c>
      <c r="D13" s="182">
        <f t="shared" si="1"/>
        <v>3.9713289029085332E-3</v>
      </c>
      <c r="E13" s="183">
        <f t="shared" si="1"/>
        <v>3.8728468112989869E-3</v>
      </c>
      <c r="F13" s="183">
        <f t="shared" si="1"/>
        <v>4.2963783852957276E-3</v>
      </c>
      <c r="G13" s="183">
        <f t="shared" si="1"/>
        <v>4.3096267466689086E-3</v>
      </c>
      <c r="H13" s="183">
        <f t="shared" si="1"/>
        <v>4.6623111349432828E-3</v>
      </c>
      <c r="I13" s="183">
        <f t="shared" si="1"/>
        <v>4.6149976183437868E-3</v>
      </c>
      <c r="J13" s="183">
        <f t="shared" si="1"/>
        <v>4.6082993821526929E-3</v>
      </c>
      <c r="K13" s="184">
        <f t="shared" si="1"/>
        <v>4.6320947739608882E-3</v>
      </c>
      <c r="L13" s="180"/>
      <c r="M13" s="529">
        <f>AVERAGE(D51:INDEX(D51:K51,0,MATCH('RFPR cover'!$C$7,$D$6:$K$6,0)))/AVERAGE($D$65:INDEX($D$65:$K$65,0,MATCH('RFPR cover'!$C$7,$D$6:$K$6,0)))</f>
        <v>4.1146727436370953E-3</v>
      </c>
      <c r="N13" s="530">
        <f t="shared" si="3"/>
        <v>4.3775990681415647E-3</v>
      </c>
    </row>
    <row r="14" spans="1:15">
      <c r="B14" s="258" t="str">
        <f t="shared" si="2"/>
        <v>Interruptions-related quality of service</v>
      </c>
      <c r="C14" s="260" t="s">
        <v>7</v>
      </c>
      <c r="D14" s="182">
        <f t="shared" si="1"/>
        <v>1.0006876476664541E-2</v>
      </c>
      <c r="E14" s="183">
        <f t="shared" si="1"/>
        <v>1.5451117805393322E-2</v>
      </c>
      <c r="F14" s="183">
        <f t="shared" si="1"/>
        <v>1.3391832293794793E-2</v>
      </c>
      <c r="G14" s="183">
        <f t="shared" si="1"/>
        <v>7.6360633334731894E-3</v>
      </c>
      <c r="H14" s="183">
        <f t="shared" si="1"/>
        <v>9.7758136700423666E-3</v>
      </c>
      <c r="I14" s="183">
        <f t="shared" si="1"/>
        <v>8.7461648412160472E-3</v>
      </c>
      <c r="J14" s="183">
        <f t="shared" si="1"/>
        <v>7.804377985903754E-3</v>
      </c>
      <c r="K14" s="184">
        <f t="shared" si="1"/>
        <v>5.9768964825301779E-3</v>
      </c>
      <c r="L14" s="180"/>
      <c r="M14" s="529">
        <f>AVERAGE(D52:INDEX(D52:K52,0,MATCH('RFPR cover'!$C$7,$D$6:$K$6,0)))/AVERAGE($D$65:INDEX($D$65:$K$65,0,MATCH('RFPR cover'!$C$7,$D$6:$K$6,0)))</f>
        <v>1.1601901703316972E-2</v>
      </c>
      <c r="N14" s="530">
        <f t="shared" si="3"/>
        <v>9.7992440902539835E-3</v>
      </c>
    </row>
    <row r="15" spans="1:15">
      <c r="B15" s="258" t="str">
        <f t="shared" si="2"/>
        <v>Incentive on connections engagement</v>
      </c>
      <c r="C15" s="260" t="s">
        <v>7</v>
      </c>
      <c r="D15" s="182">
        <f t="shared" si="1"/>
        <v>0</v>
      </c>
      <c r="E15" s="183">
        <f t="shared" si="1"/>
        <v>0</v>
      </c>
      <c r="F15" s="183">
        <f t="shared" si="1"/>
        <v>0</v>
      </c>
      <c r="G15" s="183">
        <f t="shared" si="1"/>
        <v>0</v>
      </c>
      <c r="H15" s="183">
        <f t="shared" si="1"/>
        <v>0</v>
      </c>
      <c r="I15" s="183">
        <f t="shared" si="1"/>
        <v>0</v>
      </c>
      <c r="J15" s="183">
        <f t="shared" si="1"/>
        <v>0</v>
      </c>
      <c r="K15" s="184">
        <f t="shared" si="1"/>
        <v>0</v>
      </c>
      <c r="L15" s="180"/>
      <c r="M15" s="529">
        <f>AVERAGE(D53:INDEX(D53:K53,0,MATCH('RFPR cover'!$C$7,$D$6:$K$6,0)))/AVERAGE($D$65:INDEX($D$65:$K$65,0,MATCH('RFPR cover'!$C$7,$D$6:$K$6,0)))</f>
        <v>0</v>
      </c>
      <c r="N15" s="530">
        <f t="shared" si="3"/>
        <v>0</v>
      </c>
    </row>
    <row r="16" spans="1:15">
      <c r="B16" s="258" t="str">
        <f t="shared" si="2"/>
        <v>Time to Connect Incentive</v>
      </c>
      <c r="C16" s="260" t="s">
        <v>7</v>
      </c>
      <c r="D16" s="182">
        <f t="shared" si="1"/>
        <v>1.4868405014556994E-3</v>
      </c>
      <c r="E16" s="183">
        <f t="shared" si="1"/>
        <v>9.2051739528171278E-4</v>
      </c>
      <c r="F16" s="183">
        <f t="shared" si="1"/>
        <v>9.1028822943678151E-4</v>
      </c>
      <c r="G16" s="183">
        <f t="shared" si="1"/>
        <v>9.1776030533406976E-4</v>
      </c>
      <c r="H16" s="183">
        <f t="shared" si="1"/>
        <v>9.0238280031160298E-4</v>
      </c>
      <c r="I16" s="183">
        <f t="shared" si="1"/>
        <v>8.9322534548589411E-4</v>
      </c>
      <c r="J16" s="183">
        <f t="shared" si="1"/>
        <v>8.9192891267471461E-4</v>
      </c>
      <c r="K16" s="184">
        <f t="shared" si="1"/>
        <v>8.965344723795266E-4</v>
      </c>
      <c r="L16" s="180"/>
      <c r="M16" s="529">
        <f>AVERAGE(D54:INDEX(D54:K54,0,MATCH('RFPR cover'!$C$7,$D$6:$K$6,0)))/AVERAGE($D$65:INDEX($D$65:$K$65,0,MATCH('RFPR cover'!$C$7,$D$6:$K$6,0)))</f>
        <v>1.0566848025764506E-3</v>
      </c>
      <c r="N16" s="530">
        <f t="shared" si="3"/>
        <v>9.7459485725518206E-4</v>
      </c>
    </row>
    <row r="17" spans="2:15">
      <c r="B17" s="258" t="str">
        <f t="shared" si="2"/>
        <v>Losses discretionary reward scheme</v>
      </c>
      <c r="C17" s="260" t="s">
        <v>7</v>
      </c>
      <c r="D17" s="182">
        <f t="shared" si="1"/>
        <v>0</v>
      </c>
      <c r="E17" s="183">
        <f t="shared" si="1"/>
        <v>5.906653286390991E-4</v>
      </c>
      <c r="F17" s="183">
        <f t="shared" si="1"/>
        <v>0</v>
      </c>
      <c r="G17" s="183">
        <f t="shared" si="1"/>
        <v>0</v>
      </c>
      <c r="H17" s="183">
        <f t="shared" si="1"/>
        <v>0</v>
      </c>
      <c r="I17" s="183">
        <f t="shared" si="1"/>
        <v>8.6791729403046041E-4</v>
      </c>
      <c r="J17" s="183">
        <f t="shared" si="1"/>
        <v>0</v>
      </c>
      <c r="K17" s="184">
        <f t="shared" si="1"/>
        <v>0</v>
      </c>
      <c r="L17" s="180"/>
      <c r="M17" s="529">
        <f>AVERAGE(D55:INDEX(D55:K55,0,MATCH('RFPR cover'!$C$7,$D$6:$K$6,0)))/AVERAGE($D$65:INDEX($D$65:$K$65,0,MATCH('RFPR cover'!$C$7,$D$6:$K$6,0)))</f>
        <v>1.4650706019165644E-4</v>
      </c>
      <c r="N17" s="530">
        <f t="shared" si="3"/>
        <v>1.8285385586132709E-4</v>
      </c>
    </row>
    <row r="18" spans="2:15">
      <c r="B18" s="258" t="str">
        <f t="shared" si="2"/>
        <v xml:space="preserve">Network Innovation </v>
      </c>
      <c r="C18" s="260" t="s">
        <v>7</v>
      </c>
      <c r="D18" s="182">
        <f t="shared" si="1"/>
        <v>-3.0478293201694617E-4</v>
      </c>
      <c r="E18" s="183">
        <f t="shared" si="1"/>
        <v>-3.8320424485997729E-4</v>
      </c>
      <c r="F18" s="183">
        <f t="shared" si="1"/>
        <v>-2.5381772680901031E-4</v>
      </c>
      <c r="G18" s="183">
        <f t="shared" si="1"/>
        <v>1.0659573879415376E-3</v>
      </c>
      <c r="H18" s="183">
        <f t="shared" si="1"/>
        <v>-2.5923162138535665E-4</v>
      </c>
      <c r="I18" s="183">
        <f t="shared" si="1"/>
        <v>-9.0241108217207014E-4</v>
      </c>
      <c r="J18" s="183">
        <f t="shared" si="1"/>
        <v>-2.4198993383288154E-4</v>
      </c>
      <c r="K18" s="184">
        <f t="shared" si="1"/>
        <v>-8.5293200068534115E-4</v>
      </c>
      <c r="L18" s="180"/>
      <c r="M18" s="529">
        <f>AVERAGE(D56:INDEX(D56:K56,0,MATCH('RFPR cover'!$C$7,$D$6:$K$6,0)))/AVERAGE($D$65:INDEX($D$65:$K$65,0,MATCH('RFPR cover'!$C$7,$D$6:$K$6,0)))</f>
        <v>3.7985320026705849E-5</v>
      </c>
      <c r="N18" s="530">
        <f t="shared" si="3"/>
        <v>-2.6982573224766649E-4</v>
      </c>
    </row>
    <row r="19" spans="2:15">
      <c r="B19" s="258" t="str">
        <f>B57</f>
        <v>Penalties and fines</v>
      </c>
      <c r="C19" s="260" t="s">
        <v>7</v>
      </c>
      <c r="D19" s="192">
        <f t="shared" si="1"/>
        <v>-3.0808485903602428E-6</v>
      </c>
      <c r="E19" s="193">
        <f t="shared" si="1"/>
        <v>-1.1269589486030325E-5</v>
      </c>
      <c r="F19" s="193">
        <f t="shared" si="1"/>
        <v>-7.7102063914037208E-6</v>
      </c>
      <c r="G19" s="193">
        <f t="shared" si="1"/>
        <v>-6.1706905519106768E-5</v>
      </c>
      <c r="H19" s="193">
        <f t="shared" si="1"/>
        <v>0</v>
      </c>
      <c r="I19" s="193">
        <f t="shared" si="1"/>
        <v>0</v>
      </c>
      <c r="J19" s="193">
        <f t="shared" si="1"/>
        <v>0</v>
      </c>
      <c r="K19" s="194">
        <f t="shared" si="1"/>
        <v>0</v>
      </c>
      <c r="L19" s="180"/>
      <c r="M19" s="529">
        <f>AVERAGE(D57:INDEX(D57:K57,0,MATCH('RFPR cover'!$C$7,$D$6:$K$6,0)))/AVERAGE($D$65:INDEX($D$65:$K$65,0,MATCH('RFPR cover'!$C$7,$D$6:$K$6,0)))</f>
        <v>-2.1218382080623826E-5</v>
      </c>
      <c r="N19" s="530">
        <f t="shared" si="3"/>
        <v>-1.0378447510760693E-5</v>
      </c>
    </row>
    <row r="20" spans="2:15">
      <c r="B20" s="259" t="str">
        <f>B58</f>
        <v>RoRE - Operational performance</v>
      </c>
      <c r="C20" s="260" t="s">
        <v>7</v>
      </c>
      <c r="D20" s="195">
        <f t="shared" ref="D20:K20" si="4">SUM(D10:D19)</f>
        <v>7.1601708880407844E-2</v>
      </c>
      <c r="E20" s="196">
        <f t="shared" si="4"/>
        <v>7.6996692073976802E-2</v>
      </c>
      <c r="F20" s="196">
        <f t="shared" si="4"/>
        <v>7.4891609512254612E-2</v>
      </c>
      <c r="G20" s="196">
        <f t="shared" si="4"/>
        <v>7.0658124745180351E-2</v>
      </c>
      <c r="H20" s="196">
        <f t="shared" si="4"/>
        <v>7.2037455063231393E-2</v>
      </c>
      <c r="I20" s="196">
        <f t="shared" si="4"/>
        <v>7.1354675281993088E-2</v>
      </c>
      <c r="J20" s="196">
        <f t="shared" si="4"/>
        <v>7.0373146896226396E-2</v>
      </c>
      <c r="K20" s="197">
        <f t="shared" si="4"/>
        <v>6.8050548446171186E-2</v>
      </c>
      <c r="L20" s="181"/>
      <c r="M20" s="198">
        <f>SUM(M10:M19)</f>
        <v>7.3524510802340834E-2</v>
      </c>
      <c r="N20" s="200">
        <f>SUM(N10:N19)</f>
        <v>7.1954904976004236E-2</v>
      </c>
    </row>
    <row r="21" spans="2:15">
      <c r="B21" s="258" t="str">
        <f>B59</f>
        <v>Debt performance - at notional gearing</v>
      </c>
      <c r="C21" s="260" t="s">
        <v>7</v>
      </c>
      <c r="D21" s="182">
        <f>(D59)/D$65</f>
        <v>-5.7640161903319059E-3</v>
      </c>
      <c r="E21" s="183">
        <f t="shared" ref="E21:K21" si="5">(E59)/E$65</f>
        <v>1.3907909231015959E-2</v>
      </c>
      <c r="F21" s="183">
        <f t="shared" si="5"/>
        <v>4.7855055774458588E-2</v>
      </c>
      <c r="G21" s="183">
        <f t="shared" si="5"/>
        <v>3.4148129902403415E-2</v>
      </c>
      <c r="H21" s="183">
        <f t="shared" si="5"/>
        <v>2.0845384439172443E-2</v>
      </c>
      <c r="I21" s="183">
        <f t="shared" si="5"/>
        <v>1.7328652647276184E-2</v>
      </c>
      <c r="J21" s="183">
        <f t="shared" si="5"/>
        <v>2.0630289581806217E-2</v>
      </c>
      <c r="K21" s="184">
        <f t="shared" si="5"/>
        <v>1.2499238105980951E-2</v>
      </c>
      <c r="L21" s="180"/>
      <c r="M21" s="529">
        <f>AVERAGE(D59:INDEX(D59:K59,0,MATCH('RFPR cover'!$C$7,$D$6:$K$6,0)))/AVERAGE($D$65:INDEX($D$65:$K$65,0,MATCH('RFPR cover'!$C$7,$D$6:$K$6,0)))</f>
        <v>2.2738953245913775E-2</v>
      </c>
      <c r="N21" s="530">
        <f t="shared" ref="N21" si="6">AVERAGE(D59:K59)/AVERAGE($D$65:$K$65)</f>
        <v>2.0228109503929441E-2</v>
      </c>
    </row>
    <row r="22" spans="2:15">
      <c r="B22" s="258" t="str">
        <f>B61</f>
        <v>Tax performance - at notional gearing</v>
      </c>
      <c r="C22" s="260" t="s">
        <v>7</v>
      </c>
      <c r="D22" s="182">
        <f>(D61)/D$65</f>
        <v>-2.3629740820378521E-3</v>
      </c>
      <c r="E22" s="183">
        <f t="shared" ref="E22:K22" si="7">(E61)/E$65</f>
        <v>-8.0832919182525619E-3</v>
      </c>
      <c r="F22" s="183">
        <f t="shared" si="7"/>
        <v>-9.2727611417051017E-3</v>
      </c>
      <c r="G22" s="183">
        <f t="shared" si="7"/>
        <v>-5.7614886253542904E-3</v>
      </c>
      <c r="H22" s="183">
        <f t="shared" si="7"/>
        <v>-1.7198172832851809E-3</v>
      </c>
      <c r="I22" s="183">
        <f t="shared" si="7"/>
        <v>-2.6261999021189911E-3</v>
      </c>
      <c r="J22" s="183">
        <f t="shared" si="7"/>
        <v>-3.2527352585095078E-4</v>
      </c>
      <c r="K22" s="184">
        <f t="shared" si="7"/>
        <v>1.0507597692260551E-3</v>
      </c>
      <c r="L22" s="180"/>
      <c r="M22" s="529">
        <f>AVERAGE(D61:INDEX(D61:K61,0,MATCH('RFPR cover'!$C$7,$D$6:$K$6,0)))/AVERAGE($D$65:INDEX($D$65:$K$65,0,MATCH('RFPR cover'!$C$7,$D$6:$K$6,0)))</f>
        <v>-6.3813384047076878E-3</v>
      </c>
      <c r="N22" s="530">
        <f>AVERAGE(D61:K61)/AVERAGE($D$65:$K$65)</f>
        <v>-3.5834412023108462E-3</v>
      </c>
    </row>
    <row r="23" spans="2:15">
      <c r="B23" s="259" t="str">
        <f>B63</f>
        <v>RoRE - including financing and tax</v>
      </c>
      <c r="C23" s="260" t="s">
        <v>7</v>
      </c>
      <c r="D23" s="198">
        <f>SUM(D20:D22)</f>
        <v>6.3474718608038092E-2</v>
      </c>
      <c r="E23" s="199">
        <f t="shared" ref="E23:K23" si="8">SUM(E20:E22)</f>
        <v>8.2821309386740191E-2</v>
      </c>
      <c r="F23" s="199">
        <f t="shared" si="8"/>
        <v>0.1134739041450081</v>
      </c>
      <c r="G23" s="199">
        <f t="shared" si="8"/>
        <v>9.9044766022229475E-2</v>
      </c>
      <c r="H23" s="199">
        <f t="shared" si="8"/>
        <v>9.116302221911865E-2</v>
      </c>
      <c r="I23" s="199">
        <f t="shared" si="8"/>
        <v>8.6057128027150293E-2</v>
      </c>
      <c r="J23" s="199">
        <f t="shared" si="8"/>
        <v>9.067816295218166E-2</v>
      </c>
      <c r="K23" s="200">
        <f t="shared" si="8"/>
        <v>8.1600546321378198E-2</v>
      </c>
      <c r="L23" s="181"/>
      <c r="M23" s="198">
        <f>SUM(M20:M22)</f>
        <v>8.9882125643546931E-2</v>
      </c>
      <c r="N23" s="200">
        <f>SUM(N20:N22)</f>
        <v>8.8599573277622842E-2</v>
      </c>
    </row>
    <row r="26" spans="2:15" s="32" customFormat="1">
      <c r="B26" s="491"/>
      <c r="C26" s="381"/>
    </row>
    <row r="27" spans="2:15">
      <c r="B27" s="553" t="s">
        <v>216</v>
      </c>
      <c r="C27" s="445"/>
      <c r="D27" s="223"/>
      <c r="E27" s="223"/>
      <c r="F27" s="223"/>
      <c r="G27" s="223"/>
      <c r="H27" s="223"/>
      <c r="I27" s="223"/>
      <c r="J27" s="223"/>
      <c r="K27" s="223"/>
      <c r="L27" s="554"/>
      <c r="M27" s="223"/>
      <c r="N27" s="223"/>
      <c r="O27" s="223"/>
    </row>
    <row r="28" spans="2:15">
      <c r="B28" s="205"/>
      <c r="L28" s="50"/>
    </row>
    <row r="29" spans="2:15">
      <c r="B29" s="258" t="s">
        <v>215</v>
      </c>
      <c r="C29" s="260" t="s">
        <v>7</v>
      </c>
      <c r="D29" s="182">
        <f t="shared" ref="D29:K38" si="9">D48/D$66</f>
        <v>5.6062824255614555E-2</v>
      </c>
      <c r="E29" s="183">
        <f t="shared" si="9"/>
        <v>5.4630944712113889E-2</v>
      </c>
      <c r="F29" s="183">
        <f t="shared" si="9"/>
        <v>5.5001389853186346E-2</v>
      </c>
      <c r="G29" s="183">
        <f t="shared" si="9"/>
        <v>5.5053764703957911E-2</v>
      </c>
      <c r="H29" s="183">
        <f t="shared" si="9"/>
        <v>5.7289492112553221E-2</v>
      </c>
      <c r="I29" s="183">
        <f t="shared" si="9"/>
        <v>6.0058534673986183E-2</v>
      </c>
      <c r="J29" s="183">
        <f t="shared" si="9"/>
        <v>5.9886395320073137E-2</v>
      </c>
      <c r="K29" s="184">
        <f t="shared" si="9"/>
        <v>5.9780667255403847E-2</v>
      </c>
      <c r="L29" s="180"/>
      <c r="M29" s="529">
        <f>AVERAGE(D48:INDEX(D48:K48,0,MATCH('RFPR cover'!$C$7,$D$6:$K$6,0)))/AVERAGE($D$66:INDEX($D$66:$K$66,0,MATCH('RFPR cover'!$C$7,$D$6:$K$6,0)))</f>
        <v>5.5179185224518951E-2</v>
      </c>
      <c r="N29" s="530">
        <f>AVERAGE(D48:K48)/AVERAGE($D$66:$K$66)</f>
        <v>5.7179889562458459E-2</v>
      </c>
    </row>
    <row r="30" spans="2:15">
      <c r="B30" s="258" t="str">
        <f t="shared" ref="B30:B37" si="10">B49</f>
        <v>Totex outperformance</v>
      </c>
      <c r="C30" s="260" t="s">
        <v>7</v>
      </c>
      <c r="D30" s="182">
        <f t="shared" si="9"/>
        <v>0</v>
      </c>
      <c r="E30" s="183">
        <f t="shared" si="9"/>
        <v>0</v>
      </c>
      <c r="F30" s="183">
        <f t="shared" si="9"/>
        <v>0</v>
      </c>
      <c r="G30" s="183">
        <f t="shared" si="9"/>
        <v>0</v>
      </c>
      <c r="H30" s="183">
        <f t="shared" si="9"/>
        <v>0</v>
      </c>
      <c r="I30" s="183">
        <f t="shared" si="9"/>
        <v>0</v>
      </c>
      <c r="J30" s="183">
        <f t="shared" si="9"/>
        <v>0</v>
      </c>
      <c r="K30" s="184">
        <f t="shared" si="9"/>
        <v>0</v>
      </c>
      <c r="L30" s="180"/>
      <c r="M30" s="529">
        <f>AVERAGE(D49:INDEX(D49:K49,0,MATCH('RFPR cover'!$C$7,$D$6:$K$6,0)))/AVERAGE($D$66:INDEX($D$66:$K$66,0,MATCH('RFPR cover'!$C$7,$D$6:$K$6,0)))</f>
        <v>0</v>
      </c>
      <c r="N30" s="530">
        <f t="shared" ref="N30:N38" si="11">AVERAGE(D49:K49)/AVERAGE($D$66:$K$66)</f>
        <v>0</v>
      </c>
    </row>
    <row r="31" spans="2:15">
      <c r="B31" s="258" t="str">
        <f t="shared" si="10"/>
        <v>IQI Reward</v>
      </c>
      <c r="C31" s="260" t="s">
        <v>7</v>
      </c>
      <c r="D31" s="182">
        <f t="shared" si="9"/>
        <v>-3.322164504652802E-3</v>
      </c>
      <c r="E31" s="183">
        <f t="shared" si="9"/>
        <v>-3.135799320283318E-3</v>
      </c>
      <c r="F31" s="183">
        <f t="shared" si="9"/>
        <v>-3.1583278169263844E-3</v>
      </c>
      <c r="G31" s="183">
        <f t="shared" si="9"/>
        <v>-2.9449874776595101E-3</v>
      </c>
      <c r="H31" s="183">
        <f t="shared" si="9"/>
        <v>-2.9063159104558423E-3</v>
      </c>
      <c r="I31" s="183">
        <f t="shared" si="9"/>
        <v>-2.8680139789868182E-3</v>
      </c>
      <c r="J31" s="183">
        <f t="shared" si="9"/>
        <v>-2.684377178736591E-3</v>
      </c>
      <c r="K31" s="184">
        <f t="shared" si="9"/>
        <v>-2.5925333864596114E-3</v>
      </c>
      <c r="L31" s="180"/>
      <c r="M31" s="529">
        <f>AVERAGE(D50:INDEX(D50:K50,0,MATCH('RFPR cover'!$C$7,$D$6:$K$6,0)))/AVERAGE($D$66:INDEX($D$66:$K$66,0,MATCH('RFPR cover'!$C$7,$D$6:$K$6,0)))</f>
        <v>-3.1378769750156337E-3</v>
      </c>
      <c r="N31" s="530">
        <f t="shared" si="11"/>
        <v>-2.9535154236738554E-3</v>
      </c>
    </row>
    <row r="32" spans="2:15">
      <c r="B32" s="258" t="str">
        <f t="shared" si="10"/>
        <v>Broad measure of customer service</v>
      </c>
      <c r="C32" s="260" t="s">
        <v>7</v>
      </c>
      <c r="D32" s="182">
        <f t="shared" si="9"/>
        <v>3.710731905750061E-3</v>
      </c>
      <c r="E32" s="183">
        <f t="shared" si="9"/>
        <v>3.5262880004426921E-3</v>
      </c>
      <c r="F32" s="183">
        <f t="shared" si="9"/>
        <v>3.9384463754408936E-3</v>
      </c>
      <c r="G32" s="183">
        <f t="shared" si="9"/>
        <v>3.9543529478832289E-3</v>
      </c>
      <c r="H32" s="183">
        <f t="shared" si="9"/>
        <v>4.4516906165267033E-3</v>
      </c>
      <c r="I32" s="183">
        <f t="shared" si="9"/>
        <v>4.6194999080277329E-3</v>
      </c>
      <c r="J32" s="183">
        <f t="shared" si="9"/>
        <v>4.5995739758807495E-3</v>
      </c>
      <c r="K32" s="184">
        <f t="shared" si="9"/>
        <v>4.6151619396275151E-3</v>
      </c>
      <c r="L32" s="180"/>
      <c r="M32" s="529">
        <f>AVERAGE(D51:INDEX(D51:K51,0,MATCH('RFPR cover'!$C$7,$D$6:$K$6,0)))/AVERAGE($D$66:INDEX($D$66:$K$66,0,MATCH('RFPR cover'!$C$7,$D$6:$K$6,0)))</f>
        <v>3.7840714909905143E-3</v>
      </c>
      <c r="N32" s="530">
        <f t="shared" si="11"/>
        <v>4.1718438544175954E-3</v>
      </c>
    </row>
    <row r="33" spans="2:15">
      <c r="B33" s="258" t="str">
        <f t="shared" si="10"/>
        <v>Interruptions-related quality of service</v>
      </c>
      <c r="C33" s="260" t="s">
        <v>7</v>
      </c>
      <c r="D33" s="182">
        <f t="shared" si="9"/>
        <v>9.3502292876481256E-3</v>
      </c>
      <c r="E33" s="183">
        <f t="shared" si="9"/>
        <v>1.4068486042780017E-2</v>
      </c>
      <c r="F33" s="183">
        <f t="shared" si="9"/>
        <v>1.2276156480658305E-2</v>
      </c>
      <c r="G33" s="183">
        <f t="shared" si="9"/>
        <v>7.0065672337592247E-3</v>
      </c>
      <c r="H33" s="183">
        <f t="shared" si="9"/>
        <v>9.3341900023946999E-3</v>
      </c>
      <c r="I33" s="183">
        <f t="shared" si="9"/>
        <v>8.75469740634288E-3</v>
      </c>
      <c r="J33" s="183">
        <f t="shared" si="9"/>
        <v>7.7896010881851408E-3</v>
      </c>
      <c r="K33" s="184">
        <f t="shared" si="9"/>
        <v>5.9550476640355034E-3</v>
      </c>
      <c r="L33" s="180"/>
      <c r="M33" s="529">
        <f>AVERAGE(D52:INDEX(D52:K52,0,MATCH('RFPR cover'!$C$7,$D$6:$K$6,0)))/AVERAGE($D$66:INDEX($D$66:$K$66,0,MATCH('RFPR cover'!$C$7,$D$6:$K$6,0)))</f>
        <v>1.0669724717399819E-2</v>
      </c>
      <c r="N33" s="530">
        <f t="shared" si="11"/>
        <v>9.3386615812716071E-3</v>
      </c>
    </row>
    <row r="34" spans="2:15">
      <c r="B34" s="258" t="str">
        <f t="shared" si="10"/>
        <v>Incentive on connections engagement</v>
      </c>
      <c r="C34" s="260" t="s">
        <v>7</v>
      </c>
      <c r="D34" s="182">
        <f t="shared" si="9"/>
        <v>0</v>
      </c>
      <c r="E34" s="183">
        <f t="shared" si="9"/>
        <v>0</v>
      </c>
      <c r="F34" s="183">
        <f t="shared" si="9"/>
        <v>0</v>
      </c>
      <c r="G34" s="183">
        <f t="shared" si="9"/>
        <v>0</v>
      </c>
      <c r="H34" s="183">
        <f t="shared" si="9"/>
        <v>0</v>
      </c>
      <c r="I34" s="183">
        <f t="shared" si="9"/>
        <v>0</v>
      </c>
      <c r="J34" s="183">
        <f t="shared" si="9"/>
        <v>0</v>
      </c>
      <c r="K34" s="184">
        <f t="shared" si="9"/>
        <v>0</v>
      </c>
      <c r="L34" s="180"/>
      <c r="M34" s="529">
        <f>AVERAGE(D53:INDEX(D53:K53,0,MATCH('RFPR cover'!$C$7,$D$6:$K$6,0)))/AVERAGE($D$66:INDEX($D$66:$K$66,0,MATCH('RFPR cover'!$C$7,$D$6:$K$6,0)))</f>
        <v>0</v>
      </c>
      <c r="N34" s="530">
        <f t="shared" si="11"/>
        <v>0</v>
      </c>
    </row>
    <row r="35" spans="2:15">
      <c r="B35" s="258" t="str">
        <f t="shared" si="10"/>
        <v>Time to Connect Incentive</v>
      </c>
      <c r="C35" s="260" t="s">
        <v>7</v>
      </c>
      <c r="D35" s="182">
        <f t="shared" si="9"/>
        <v>1.3892746288206781E-3</v>
      </c>
      <c r="E35" s="183">
        <f t="shared" si="9"/>
        <v>8.3814558213623895E-4</v>
      </c>
      <c r="F35" s="183">
        <f t="shared" si="9"/>
        <v>8.3445196310031949E-4</v>
      </c>
      <c r="G35" s="183">
        <f t="shared" si="9"/>
        <v>8.4210266507490754E-4</v>
      </c>
      <c r="H35" s="183">
        <f t="shared" si="9"/>
        <v>8.6161753868258765E-4</v>
      </c>
      <c r="I35" s="183">
        <f t="shared" si="9"/>
        <v>8.9409675639246433E-4</v>
      </c>
      <c r="J35" s="183">
        <f t="shared" si="9"/>
        <v>8.9024012436401598E-4</v>
      </c>
      <c r="K35" s="184">
        <f t="shared" si="9"/>
        <v>8.9325714960532547E-4</v>
      </c>
      <c r="L35" s="180"/>
      <c r="M35" s="529">
        <f>AVERAGE(D54:INDEX(D54:K54,0,MATCH('RFPR cover'!$C$7,$D$6:$K$6,0)))/AVERAGE($D$66:INDEX($D$66:$K$66,0,MATCH('RFPR cover'!$C$7,$D$6:$K$6,0)))</f>
        <v>9.7178344075500339E-4</v>
      </c>
      <c r="N35" s="530">
        <f t="shared" si="11"/>
        <v>9.2878710509985442E-4</v>
      </c>
    </row>
    <row r="36" spans="2:15">
      <c r="B36" s="258" t="str">
        <f t="shared" si="10"/>
        <v>Losses discretionary reward scheme</v>
      </c>
      <c r="C36" s="260" t="s">
        <v>7</v>
      </c>
      <c r="D36" s="182">
        <f t="shared" si="9"/>
        <v>0</v>
      </c>
      <c r="E36" s="183">
        <f t="shared" si="9"/>
        <v>5.3781008187075334E-4</v>
      </c>
      <c r="F36" s="183">
        <f t="shared" si="9"/>
        <v>0</v>
      </c>
      <c r="G36" s="183">
        <f t="shared" si="9"/>
        <v>0</v>
      </c>
      <c r="H36" s="183">
        <f t="shared" si="9"/>
        <v>0</v>
      </c>
      <c r="I36" s="183">
        <f t="shared" si="9"/>
        <v>8.6876401496134451E-4</v>
      </c>
      <c r="J36" s="183">
        <f t="shared" si="9"/>
        <v>0</v>
      </c>
      <c r="K36" s="184">
        <f t="shared" si="9"/>
        <v>0</v>
      </c>
      <c r="L36" s="180"/>
      <c r="M36" s="529">
        <f>AVERAGE(D55:INDEX(D55:K55,0,MATCH('RFPR cover'!$C$7,$D$6:$K$6,0)))/AVERAGE($D$66:INDEX($D$66:$K$66,0,MATCH('RFPR cover'!$C$7,$D$6:$K$6,0)))</f>
        <v>1.3473567018358596E-4</v>
      </c>
      <c r="N36" s="530">
        <f t="shared" si="11"/>
        <v>1.7425938807033963E-4</v>
      </c>
    </row>
    <row r="37" spans="2:15">
      <c r="B37" s="258" t="str">
        <f t="shared" si="10"/>
        <v xml:space="preserve">Network Innovation </v>
      </c>
      <c r="C37" s="260" t="s">
        <v>7</v>
      </c>
      <c r="D37" s="182">
        <f t="shared" si="9"/>
        <v>-2.8478319922961624E-4</v>
      </c>
      <c r="E37" s="183">
        <f t="shared" si="9"/>
        <v>-3.4891349857321289E-4</v>
      </c>
      <c r="F37" s="183">
        <f t="shared" si="9"/>
        <v>-2.3267212906453208E-4</v>
      </c>
      <c r="G37" s="183">
        <f t="shared" si="9"/>
        <v>9.7808278700298331E-4</v>
      </c>
      <c r="H37" s="183">
        <f t="shared" si="9"/>
        <v>-2.4752079881134616E-4</v>
      </c>
      <c r="I37" s="183">
        <f t="shared" si="9"/>
        <v>-9.0329145448034449E-4</v>
      </c>
      <c r="J37" s="183">
        <f t="shared" si="9"/>
        <v>-2.415317473499048E-4</v>
      </c>
      <c r="K37" s="184">
        <f t="shared" si="9"/>
        <v>-8.498140687409377E-4</v>
      </c>
      <c r="L37" s="180"/>
      <c r="M37" s="529">
        <f>AVERAGE(D56:INDEX(D56:K56,0,MATCH('RFPR cover'!$C$7,$D$6:$K$6,0)))/AVERAGE($D$66:INDEX($D$66:$K$66,0,MATCH('RFPR cover'!$C$7,$D$6:$K$6,0)))</f>
        <v>3.4933316826103858E-5</v>
      </c>
      <c r="N37" s="530">
        <f t="shared" si="11"/>
        <v>-2.5714342618385089E-4</v>
      </c>
    </row>
    <row r="38" spans="2:15">
      <c r="B38" s="258" t="str">
        <f>B57</f>
        <v>Penalties and fines</v>
      </c>
      <c r="C38" s="260" t="s">
        <v>7</v>
      </c>
      <c r="D38" s="192">
        <f t="shared" si="9"/>
        <v>-2.8786845513254021E-6</v>
      </c>
      <c r="E38" s="193">
        <f t="shared" si="9"/>
        <v>-1.0261138668992378E-5</v>
      </c>
      <c r="F38" s="193">
        <f t="shared" si="9"/>
        <v>-7.0678677930354196E-6</v>
      </c>
      <c r="G38" s="193">
        <f t="shared" si="9"/>
        <v>-5.6619957617637769E-5</v>
      </c>
      <c r="H38" s="193">
        <f t="shared" si="9"/>
        <v>0</v>
      </c>
      <c r="I38" s="193">
        <f t="shared" si="9"/>
        <v>0</v>
      </c>
      <c r="J38" s="193">
        <f t="shared" si="9"/>
        <v>0</v>
      </c>
      <c r="K38" s="194">
        <f t="shared" si="9"/>
        <v>0</v>
      </c>
      <c r="L38" s="180"/>
      <c r="M38" s="529">
        <f>AVERAGE(D57:INDEX(D57:K57,0,MATCH('RFPR cover'!$C$7,$D$6:$K$6,0)))/AVERAGE($D$66:INDEX($D$66:$K$66,0,MATCH('RFPR cover'!$C$7,$D$6:$K$6,0)))</f>
        <v>-1.9513550583189264E-5</v>
      </c>
      <c r="N38" s="530">
        <f t="shared" si="11"/>
        <v>-9.8906413749178044E-6</v>
      </c>
    </row>
    <row r="39" spans="2:15">
      <c r="B39" s="259" t="str">
        <f>B58</f>
        <v>RoRE - Operational performance</v>
      </c>
      <c r="C39" s="260" t="s">
        <v>7</v>
      </c>
      <c r="D39" s="195">
        <f t="shared" ref="D39:K39" si="12">SUM(D29:D38)</f>
        <v>6.6903233689399669E-2</v>
      </c>
      <c r="E39" s="196">
        <f t="shared" si="12"/>
        <v>7.0106700461818078E-2</v>
      </c>
      <c r="F39" s="196">
        <f t="shared" si="12"/>
        <v>6.8652376858601927E-2</v>
      </c>
      <c r="G39" s="196">
        <f t="shared" si="12"/>
        <v>6.4833262902401115E-2</v>
      </c>
      <c r="H39" s="196">
        <f t="shared" si="12"/>
        <v>6.8783153560890029E-2</v>
      </c>
      <c r="I39" s="196">
        <f t="shared" si="12"/>
        <v>7.1424287326243438E-2</v>
      </c>
      <c r="J39" s="196">
        <f t="shared" si="12"/>
        <v>7.0239901582416553E-2</v>
      </c>
      <c r="K39" s="197">
        <f t="shared" si="12"/>
        <v>6.7801786553471646E-2</v>
      </c>
      <c r="L39" s="181"/>
      <c r="M39" s="198">
        <f>SUM(M29:M38)</f>
        <v>6.761704333507515E-2</v>
      </c>
      <c r="N39" s="200">
        <f>SUM(N29:N38)</f>
        <v>6.857289200008522E-2</v>
      </c>
    </row>
    <row r="40" spans="2:15">
      <c r="B40" s="258" t="s">
        <v>455</v>
      </c>
      <c r="C40" s="260" t="s">
        <v>7</v>
      </c>
      <c r="D40" s="182">
        <f>(D59+D60)/D$66</f>
        <v>-3.5088204801265598E-3</v>
      </c>
      <c r="E40" s="183">
        <f t="shared" ref="E40:K40" si="13">(E59+E60)/E$66</f>
        <v>1.4158752976611403E-2</v>
      </c>
      <c r="F40" s="183">
        <f t="shared" si="13"/>
        <v>4.3629300509452941E-2</v>
      </c>
      <c r="G40" s="183">
        <f t="shared" si="13"/>
        <v>3.1540179160855566E-2</v>
      </c>
      <c r="H40" s="183">
        <f t="shared" si="13"/>
        <v>2.0273023555107485E-2</v>
      </c>
      <c r="I40" s="183">
        <f t="shared" si="13"/>
        <v>1.733690551497033E-2</v>
      </c>
      <c r="J40" s="183">
        <f t="shared" si="13"/>
        <v>2.0602761450443215E-2</v>
      </c>
      <c r="K40" s="184">
        <f t="shared" si="13"/>
        <v>1.2488528829823273E-2</v>
      </c>
      <c r="L40" s="180"/>
      <c r="M40" s="529">
        <f>AVERAGE(D59:INDEX(D59:K59,0,MATCH('RFPR cover'!$C$7,$D$6:$K$6,0)))/AVERAGE($D$66:INDEX($D$66:$K$66,0,MATCH('RFPR cover'!$C$7,$D$6:$K$6,0)))</f>
        <v>2.0911948549465879E-2</v>
      </c>
      <c r="N40" s="530">
        <f t="shared" ref="N40" si="14">AVERAGE(D59:K59)/AVERAGE($D$66:$K$66)</f>
        <v>1.9277351124866695E-2</v>
      </c>
    </row>
    <row r="41" spans="2:15">
      <c r="B41" s="258" t="s">
        <v>456</v>
      </c>
      <c r="C41" s="260" t="s">
        <v>7</v>
      </c>
      <c r="D41" s="182">
        <f>(D61+D62)/D$66</f>
        <v>-2.583309337622674E-3</v>
      </c>
      <c r="E41" s="183">
        <f t="shared" ref="E41:K41" si="15">(E61+E62)/E$66</f>
        <v>-7.6590410924187221E-3</v>
      </c>
      <c r="F41" s="183">
        <f t="shared" si="15"/>
        <v>-8.4548467724956354E-3</v>
      </c>
      <c r="G41" s="183">
        <f t="shared" si="15"/>
        <v>-5.32588151500647E-3</v>
      </c>
      <c r="H41" s="183">
        <f t="shared" si="15"/>
        <v>-1.7122974100985621E-3</v>
      </c>
      <c r="I41" s="183">
        <f t="shared" si="15"/>
        <v>-2.6272910256174517E-3</v>
      </c>
      <c r="J41" s="183">
        <f t="shared" si="15"/>
        <v>-3.2661834303278543E-4</v>
      </c>
      <c r="K41" s="184">
        <f t="shared" si="15"/>
        <v>1.040971684540352E-3</v>
      </c>
      <c r="L41" s="180"/>
      <c r="M41" s="529">
        <f>(AVERAGE(D61:INDEX(D61:K61,0,MATCH('RFPR cover'!$C$7,$D$6:$K$6,0)))+AVERAGE(D62:INDEX(D62:K62,0,MATCH('RFPR cover'!$C$7,$D$6:$K$6,0))))/AVERAGE($D$66:INDEX($D$66:$K$66,0,MATCH('RFPR cover'!$C$7,$D$6:$K$6,0)))</f>
        <v>-6.033145057487168E-3</v>
      </c>
      <c r="N41" s="530">
        <f>(AVERAGE(D61:K61)+AVERAGE(D62:K62))/AVERAGE($D$66:$K$66)</f>
        <v>-3.5080741329477985E-3</v>
      </c>
    </row>
    <row r="42" spans="2:15">
      <c r="B42" s="259" t="str">
        <f>B63</f>
        <v>RoRE - including financing and tax</v>
      </c>
      <c r="C42" s="260" t="s">
        <v>7</v>
      </c>
      <c r="D42" s="198">
        <f>SUM(D39:D41)</f>
        <v>6.0811103871650438E-2</v>
      </c>
      <c r="E42" s="199">
        <f t="shared" ref="E42:K42" si="16">SUM(E39:E41)</f>
        <v>7.660641234601076E-2</v>
      </c>
      <c r="F42" s="199">
        <f t="shared" si="16"/>
        <v>0.10382683059555922</v>
      </c>
      <c r="G42" s="199">
        <f t="shared" si="16"/>
        <v>9.1047560548250209E-2</v>
      </c>
      <c r="H42" s="199">
        <f t="shared" si="16"/>
        <v>8.734387970589895E-2</v>
      </c>
      <c r="I42" s="199">
        <f t="shared" si="16"/>
        <v>8.6133901815596312E-2</v>
      </c>
      <c r="J42" s="199">
        <f t="shared" si="16"/>
        <v>9.0516044689826977E-2</v>
      </c>
      <c r="K42" s="200">
        <f t="shared" si="16"/>
        <v>8.1331287067835281E-2</v>
      </c>
      <c r="L42" s="181"/>
      <c r="M42" s="198">
        <f>SUM(M39:M41)</f>
        <v>8.2495846827053854E-2</v>
      </c>
      <c r="N42" s="200">
        <f>SUM(N39:N41)</f>
        <v>8.4342168992004113E-2</v>
      </c>
    </row>
    <row r="43" spans="2:15" s="32" customFormat="1">
      <c r="B43" s="492"/>
      <c r="C43" s="493"/>
      <c r="D43" s="494"/>
      <c r="E43" s="494"/>
      <c r="F43" s="494"/>
      <c r="G43" s="494"/>
      <c r="H43" s="494"/>
      <c r="I43" s="494"/>
      <c r="J43" s="494"/>
      <c r="K43" s="494"/>
      <c r="L43" s="495"/>
      <c r="M43" s="494"/>
      <c r="N43" s="494"/>
    </row>
    <row r="44" spans="2:15" s="32" customFormat="1">
      <c r="B44" s="492"/>
      <c r="C44" s="493"/>
      <c r="D44" s="494"/>
      <c r="E44" s="494"/>
      <c r="F44" s="494"/>
      <c r="G44" s="494"/>
      <c r="H44" s="494"/>
      <c r="I44" s="494"/>
      <c r="J44" s="494"/>
      <c r="K44" s="494"/>
      <c r="L44" s="495"/>
      <c r="M44" s="494"/>
      <c r="N44" s="494"/>
    </row>
    <row r="45" spans="2:15" s="32" customFormat="1">
      <c r="B45" s="547" t="s">
        <v>391</v>
      </c>
      <c r="C45" s="548"/>
      <c r="D45" s="549"/>
      <c r="E45" s="549"/>
      <c r="F45" s="549"/>
      <c r="G45" s="549"/>
      <c r="H45" s="549"/>
      <c r="I45" s="549"/>
      <c r="J45" s="549"/>
      <c r="K45" s="549"/>
      <c r="L45" s="550"/>
      <c r="M45" s="549"/>
      <c r="N45" s="549"/>
      <c r="O45" s="223"/>
    </row>
    <row r="46" spans="2:15" s="32" customFormat="1">
      <c r="B46" s="552" t="str">
        <f>"Input values provided in "&amp;'RFPR cover'!C14&amp;" prices"</f>
        <v>Input values provided in £m 12/13 prices</v>
      </c>
      <c r="C46" s="551"/>
      <c r="D46" s="551"/>
      <c r="E46" s="551"/>
      <c r="F46" s="551"/>
      <c r="G46" s="551"/>
      <c r="H46" s="551"/>
      <c r="I46" s="551"/>
      <c r="J46" s="551"/>
      <c r="K46" s="551"/>
      <c r="L46" s="551"/>
      <c r="M46" s="551"/>
      <c r="N46" s="551"/>
      <c r="O46" s="551"/>
    </row>
    <row r="48" spans="2:15">
      <c r="B48" s="253" t="s">
        <v>228</v>
      </c>
      <c r="C48" s="357" t="str">
        <f>'RFPR cover'!$C$14</f>
        <v>£m 12/13</v>
      </c>
      <c r="D48" s="185">
        <f>'R9 - RAV'!D50</f>
        <v>31.444814331178101</v>
      </c>
      <c r="E48" s="186">
        <f>'R9 - RAV'!E50</f>
        <v>31.677836996307875</v>
      </c>
      <c r="F48" s="186">
        <f>'R9 - RAV'!F50</f>
        <v>32.033809794554884</v>
      </c>
      <c r="G48" s="186">
        <f>'R9 - RAV'!G50</f>
        <v>32.557520549032148</v>
      </c>
      <c r="H48" s="186">
        <f>'R9 - RAV'!H50</f>
        <v>33.11233324669098</v>
      </c>
      <c r="I48" s="186">
        <f>'R9 - RAV'!I50</f>
        <v>33.451804912394152</v>
      </c>
      <c r="J48" s="186">
        <f>'R9 - RAV'!J50</f>
        <v>33.500427641027926</v>
      </c>
      <c r="K48" s="187">
        <f>'R9 - RAV'!K50</f>
        <v>33.328333623016569</v>
      </c>
      <c r="M48" s="95">
        <f>SUM(D48:INDEX(D48:K48,0,MATCH('RFPR cover'!$C$7,$D$6:$K$6,0)))</f>
        <v>127.71398167107301</v>
      </c>
      <c r="N48" s="95">
        <f>SUM(D48:K48)</f>
        <v>261.10688109420266</v>
      </c>
    </row>
    <row r="49" spans="2:14">
      <c r="B49" s="253" t="s">
        <v>102</v>
      </c>
      <c r="C49" s="357" t="str">
        <f>'RFPR cover'!$C$14</f>
        <v>£m 12/13</v>
      </c>
      <c r="D49" s="257">
        <f>'R4 - Totex'!D35+'R4 - Totex'!D63</f>
        <v>0</v>
      </c>
      <c r="E49" s="257">
        <f>'R4 - Totex'!E35+'R4 - Totex'!E63</f>
        <v>0</v>
      </c>
      <c r="F49" s="257">
        <f>'R4 - Totex'!F35+'R4 - Totex'!F63</f>
        <v>0</v>
      </c>
      <c r="G49" s="257">
        <f>'R4 - Totex'!G35+'R4 - Totex'!G63</f>
        <v>0</v>
      </c>
      <c r="H49" s="257">
        <f>'R4 - Totex'!H35+'R4 - Totex'!H63</f>
        <v>0</v>
      </c>
      <c r="I49" s="257">
        <f>'R4 - Totex'!I35+'R4 - Totex'!I63</f>
        <v>0</v>
      </c>
      <c r="J49" s="257">
        <f>'R4 - Totex'!J35+'R4 - Totex'!J63</f>
        <v>0</v>
      </c>
      <c r="K49" s="257">
        <f>'R4 - Totex'!K35+'R4 - Totex'!K63</f>
        <v>0</v>
      </c>
      <c r="M49" s="95">
        <f>SUM(D49:INDEX(D49:K49,0,MATCH('RFPR cover'!$C$7,$D$6:$K$6,0)))</f>
        <v>0</v>
      </c>
      <c r="N49" s="95">
        <f>SUM(D49:K49)</f>
        <v>0</v>
      </c>
    </row>
    <row r="50" spans="2:14">
      <c r="B50" s="255" t="s">
        <v>110</v>
      </c>
      <c r="C50" s="357" t="str">
        <f>'RFPR cover'!$C$14</f>
        <v>£m 12/13</v>
      </c>
      <c r="D50" s="248">
        <f>'R4 - Totex'!D79</f>
        <v>-1.8633532543800757</v>
      </c>
      <c r="E50" s="188">
        <f>'R4 - Totex'!E79</f>
        <v>-1.8182980405067262</v>
      </c>
      <c r="F50" s="188">
        <f>'R4 - Totex'!F79</f>
        <v>-1.83946756302578</v>
      </c>
      <c r="G50" s="188">
        <f>'R4 - Totex'!G79</f>
        <v>-1.7415973428180247</v>
      </c>
      <c r="H50" s="188">
        <f>'R4 - Totex'!H79</f>
        <v>-1.6798002111470465</v>
      </c>
      <c r="I50" s="188">
        <f>'R4 - Totex'!I79</f>
        <v>-1.5974456358596774</v>
      </c>
      <c r="J50" s="188">
        <f>'R4 - Totex'!J79</f>
        <v>-1.5016396120831343</v>
      </c>
      <c r="K50" s="189">
        <f>'R4 - Totex'!K79</f>
        <v>-1.4453638876860204</v>
      </c>
      <c r="M50" s="95">
        <f>SUM(D50:INDEX(D50:K50,0,MATCH('RFPR cover'!$C$7,$D$6:$K$6,0)))</f>
        <v>-7.2627162007306065</v>
      </c>
      <c r="N50" s="95">
        <f t="shared" ref="N50:N57" si="17">SUM(D50:K50)</f>
        <v>-13.486965547506486</v>
      </c>
    </row>
    <row r="51" spans="2:14">
      <c r="B51" s="256" t="str">
        <f>'R5 - Output Incentives'!B39</f>
        <v>Broad measure of customer service</v>
      </c>
      <c r="C51" s="357" t="str">
        <f>'RFPR cover'!$C$14</f>
        <v>£m 12/13</v>
      </c>
      <c r="D51" s="248">
        <f>'R5 - Output Incentives'!D39</f>
        <v>2.0812950000000008</v>
      </c>
      <c r="E51" s="188">
        <f>'R5 - Output Incentives'!E39</f>
        <v>2.0447235000000004</v>
      </c>
      <c r="F51" s="188">
        <f>'R5 - Output Incentives'!F39</f>
        <v>2.2938228000000032</v>
      </c>
      <c r="G51" s="188">
        <f>'R5 - Output Incentives'!G39</f>
        <v>2.3385126893888595</v>
      </c>
      <c r="H51" s="188">
        <f>'R5 - Output Incentives'!H39</f>
        <v>2.573</v>
      </c>
      <c r="I51" s="188">
        <f>'R5 - Output Incentives'!I39</f>
        <v>2.573</v>
      </c>
      <c r="J51" s="188">
        <f>'R5 - Output Incentives'!J39</f>
        <v>2.573</v>
      </c>
      <c r="K51" s="189">
        <f>'R5 - Output Incentives'!K39</f>
        <v>2.573</v>
      </c>
      <c r="M51" s="95">
        <f>SUM(D51:INDEX(D51:K51,0,MATCH('RFPR cover'!$C$7,$D$6:$K$6,0)))</f>
        <v>8.758353989388862</v>
      </c>
      <c r="N51" s="95">
        <f t="shared" si="17"/>
        <v>19.050353989388864</v>
      </c>
    </row>
    <row r="52" spans="2:14">
      <c r="B52" s="256" t="str">
        <f>'R5 - Output Incentives'!B40</f>
        <v>Interruptions-related quality of service</v>
      </c>
      <c r="C52" s="357" t="str">
        <f>'RFPR cover'!$C$14</f>
        <v>£m 12/13</v>
      </c>
      <c r="D52" s="248">
        <f>'R5 - Output Incentives'!D40</f>
        <v>5.2444062140625034</v>
      </c>
      <c r="E52" s="188">
        <f>'R5 - Output Incentives'!E40</f>
        <v>8.1576331874999983</v>
      </c>
      <c r="F52" s="188">
        <f>'R5 - Output Incentives'!F40</f>
        <v>7.1498568083333351</v>
      </c>
      <c r="G52" s="188">
        <f>'R5 - Output Incentives'!G40</f>
        <v>4.143521481554405</v>
      </c>
      <c r="H52" s="188">
        <f>'R5 - Output Incentives'!H40</f>
        <v>5.3949999999999996</v>
      </c>
      <c r="I52" s="188">
        <f>'R5 - Output Incentives'!I40</f>
        <v>4.8762499999999998</v>
      </c>
      <c r="J52" s="188">
        <f>'R5 - Output Incentives'!J40</f>
        <v>4.3574999999999999</v>
      </c>
      <c r="K52" s="189">
        <f>'R5 - Output Incentives'!K40</f>
        <v>3.32</v>
      </c>
      <c r="M52" s="95">
        <f>SUM(D52:INDEX(D52:K52,0,MATCH('RFPR cover'!$C$7,$D$6:$K$6,0)))</f>
        <v>24.695417691450242</v>
      </c>
      <c r="N52" s="95">
        <f t="shared" si="17"/>
        <v>42.644167691450242</v>
      </c>
    </row>
    <row r="53" spans="2:14">
      <c r="B53" s="256" t="str">
        <f>'R5 - Output Incentives'!B41</f>
        <v>Incentive on connections engagement</v>
      </c>
      <c r="C53" s="357" t="str">
        <f>'RFPR cover'!$C$14</f>
        <v>£m 12/13</v>
      </c>
      <c r="D53" s="248">
        <f>'R5 - Output Incentives'!D41</f>
        <v>0</v>
      </c>
      <c r="E53" s="188">
        <f>'R5 - Output Incentives'!E41</f>
        <v>0</v>
      </c>
      <c r="F53" s="188">
        <f>'R5 - Output Incentives'!F41</f>
        <v>0</v>
      </c>
      <c r="G53" s="188">
        <f>'R5 - Output Incentives'!G41</f>
        <v>0</v>
      </c>
      <c r="H53" s="188">
        <f>'R5 - Output Incentives'!H41</f>
        <v>0</v>
      </c>
      <c r="I53" s="188">
        <f>'R5 - Output Incentives'!I41</f>
        <v>0</v>
      </c>
      <c r="J53" s="188">
        <f>'R5 - Output Incentives'!J41</f>
        <v>0</v>
      </c>
      <c r="K53" s="189">
        <f>'R5 - Output Incentives'!K41</f>
        <v>0</v>
      </c>
      <c r="M53" s="95">
        <f>SUM(D53:INDEX(D53:K53,0,MATCH('RFPR cover'!$C$7,$D$6:$K$6,0)))</f>
        <v>0</v>
      </c>
      <c r="N53" s="95">
        <f t="shared" si="17"/>
        <v>0</v>
      </c>
    </row>
    <row r="54" spans="2:14">
      <c r="B54" s="256" t="str">
        <f>'R5 - Output Incentives'!B42</f>
        <v>Time to Connect Incentive</v>
      </c>
      <c r="C54" s="357" t="str">
        <f>'RFPR cover'!$C$14</f>
        <v>£m 12/13</v>
      </c>
      <c r="D54" s="248">
        <f>'R5 - Output Incentives'!D42</f>
        <v>0.77922372513917015</v>
      </c>
      <c r="E54" s="188">
        <f>'R5 - Output Incentives'!E42</f>
        <v>0.48599999999999999</v>
      </c>
      <c r="F54" s="188">
        <f>'R5 - Output Incentives'!F42</f>
        <v>0.48599999999999999</v>
      </c>
      <c r="G54" s="188">
        <f>'R5 - Output Incentives'!G42</f>
        <v>0.49799999999999994</v>
      </c>
      <c r="H54" s="188">
        <f>'R5 - Output Incentives'!H42</f>
        <v>0.49799999999999994</v>
      </c>
      <c r="I54" s="188">
        <f>'R5 - Output Incentives'!I42</f>
        <v>0.49799999999999994</v>
      </c>
      <c r="J54" s="188">
        <f>'R5 - Output Incentives'!J42</f>
        <v>0.49799999999999994</v>
      </c>
      <c r="K54" s="189">
        <f>'R5 - Output Incentives'!K42</f>
        <v>0.49799999999999994</v>
      </c>
      <c r="M54" s="95">
        <f>SUM(D54:INDEX(D54:K54,0,MATCH('RFPR cover'!$C$7,$D$6:$K$6,0)))</f>
        <v>2.2492237251391702</v>
      </c>
      <c r="N54" s="95">
        <f t="shared" si="17"/>
        <v>4.2412237251391698</v>
      </c>
    </row>
    <row r="55" spans="2:14">
      <c r="B55" s="256" t="str">
        <f>'R5 - Output Incentives'!B43</f>
        <v>Losses discretionary reward scheme</v>
      </c>
      <c r="C55" s="357" t="str">
        <f>'RFPR cover'!$C$14</f>
        <v>£m 12/13</v>
      </c>
      <c r="D55" s="248">
        <f>'R5 - Output Incentives'!D43</f>
        <v>0</v>
      </c>
      <c r="E55" s="188">
        <f>'R5 - Output Incentives'!E43</f>
        <v>0.31185000000000002</v>
      </c>
      <c r="F55" s="188">
        <f>'R5 - Output Incentives'!F43</f>
        <v>0</v>
      </c>
      <c r="G55" s="188">
        <f>'R5 - Output Incentives'!G43</f>
        <v>0</v>
      </c>
      <c r="H55" s="188">
        <f>'R5 - Output Incentives'!H43</f>
        <v>0</v>
      </c>
      <c r="I55" s="188">
        <f>'R5 - Output Incentives'!I43</f>
        <v>0.48388999999999993</v>
      </c>
      <c r="J55" s="188">
        <f>'R5 - Output Incentives'!J43</f>
        <v>0</v>
      </c>
      <c r="K55" s="189">
        <f>'R5 - Output Incentives'!K43</f>
        <v>0</v>
      </c>
      <c r="M55" s="95">
        <f>SUM(D55:INDEX(D55:K55,0,MATCH('RFPR cover'!$C$7,$D$6:$K$6,0)))</f>
        <v>0.31185000000000002</v>
      </c>
      <c r="N55" s="95">
        <f t="shared" si="17"/>
        <v>0.79573999999999989</v>
      </c>
    </row>
    <row r="56" spans="2:14">
      <c r="B56" s="253" t="s">
        <v>497</v>
      </c>
      <c r="C56" s="357" t="str">
        <f>'RFPR cover'!$C$14</f>
        <v>£m 12/13</v>
      </c>
      <c r="D56" s="248">
        <f>-'R6 - Innovation'!D28</f>
        <v>-0.15973071180974918</v>
      </c>
      <c r="E56" s="188">
        <f>-'R6 - Innovation'!E28</f>
        <v>-0.20231802674946017</v>
      </c>
      <c r="F56" s="188">
        <f>-'R6 - Innovation'!F28</f>
        <v>-0.13551247971810218</v>
      </c>
      <c r="G56" s="188">
        <f>-'R6 - Innovation'!G28</f>
        <v>0.57841549270498749</v>
      </c>
      <c r="H56" s="188">
        <f>-'R6 - Innovation'!H28</f>
        <v>-0.14306273058986588</v>
      </c>
      <c r="I56" s="188">
        <f>-'R6 - Innovation'!I28</f>
        <v>-0.50312132452670966</v>
      </c>
      <c r="J56" s="188">
        <f>-'R6 - Innovation'!J28</f>
        <v>-0.13511277113709308</v>
      </c>
      <c r="K56" s="189">
        <f>-'R6 - Innovation'!K28</f>
        <v>-0.47378003794313411</v>
      </c>
      <c r="M56" s="95">
        <f>SUM(D56:INDEX(D56:K56,0,MATCH('RFPR cover'!$C$7,$D$6:$K$6,0)))</f>
        <v>8.0854274427675898E-2</v>
      </c>
      <c r="N56" s="95">
        <f t="shared" si="17"/>
        <v>-1.1742225897691267</v>
      </c>
    </row>
    <row r="57" spans="2:14">
      <c r="B57" s="253" t="s">
        <v>35</v>
      </c>
      <c r="C57" s="357" t="str">
        <f>'RFPR cover'!$C$14</f>
        <v>£m 12/13</v>
      </c>
      <c r="D57" s="249">
        <f>-'R13 - Other Activities '!D8</f>
        <v>-1.614611865105827E-3</v>
      </c>
      <c r="E57" s="249">
        <f>-'R13 - Other Activities '!E8</f>
        <v>-5.9499369792295614E-3</v>
      </c>
      <c r="F57" s="249">
        <f>-'R13 - Other Activities '!F8</f>
        <v>-4.1164547503164698E-3</v>
      </c>
      <c r="G57" s="249">
        <f>-'R13 - Other Activities '!G8</f>
        <v>-3.3483730740925068E-2</v>
      </c>
      <c r="H57" s="249">
        <f>-'R13 - Other Activities '!H8</f>
        <v>0</v>
      </c>
      <c r="I57" s="249">
        <f>-'R13 - Other Activities '!I8</f>
        <v>0</v>
      </c>
      <c r="J57" s="249">
        <f>-'R13 - Other Activities '!J8</f>
        <v>0</v>
      </c>
      <c r="K57" s="249">
        <f>-'R13 - Other Activities '!K8</f>
        <v>0</v>
      </c>
      <c r="M57" s="95">
        <f>SUM(D57:INDEX(D57:K57,0,MATCH('RFPR cover'!$C$7,$D$6:$K$6,0)))</f>
        <v>-4.5164734335576925E-2</v>
      </c>
      <c r="N57" s="95">
        <f t="shared" si="17"/>
        <v>-4.5164734335576925E-2</v>
      </c>
    </row>
    <row r="58" spans="2:14">
      <c r="B58" s="254" t="s">
        <v>103</v>
      </c>
      <c r="C58" s="357" t="str">
        <f>'RFPR cover'!$C$14</f>
        <v>£m 12/13</v>
      </c>
      <c r="D58" s="250">
        <f t="shared" ref="D58:K58" si="18">SUM(D48:D57)</f>
        <v>37.525040692324836</v>
      </c>
      <c r="E58" s="149">
        <f t="shared" si="18"/>
        <v>40.651477679572459</v>
      </c>
      <c r="F58" s="149">
        <f t="shared" si="18"/>
        <v>39.984392905394017</v>
      </c>
      <c r="G58" s="149">
        <f t="shared" si="18"/>
        <v>38.340889139121444</v>
      </c>
      <c r="H58" s="149">
        <f t="shared" si="18"/>
        <v>39.755470304954059</v>
      </c>
      <c r="I58" s="149">
        <f t="shared" si="18"/>
        <v>39.782377952007764</v>
      </c>
      <c r="J58" s="149">
        <f t="shared" si="18"/>
        <v>39.292175257807692</v>
      </c>
      <c r="K58" s="150">
        <f t="shared" si="18"/>
        <v>37.80018969738741</v>
      </c>
      <c r="M58" s="148">
        <f>SUM(M48:M57)</f>
        <v>156.50180041641278</v>
      </c>
      <c r="N58" s="150">
        <f>SUM(N48:N57)</f>
        <v>313.13201362856978</v>
      </c>
    </row>
    <row r="59" spans="2:14">
      <c r="B59" s="253" t="s">
        <v>436</v>
      </c>
      <c r="C59" s="357" t="str">
        <f>'RFPR cover'!$C$14</f>
        <v>£m 12/13</v>
      </c>
      <c r="D59" s="248">
        <f>'R7 - Financing'!D87+'R10 - Tax'!D88</f>
        <v>-3.0208069817815222</v>
      </c>
      <c r="E59" s="248">
        <f>'R7 - Financing'!E87+'R10 - Tax'!E88</f>
        <v>7.3428746929928188</v>
      </c>
      <c r="F59" s="248">
        <f>'R7 - Financing'!F87+'R10 - Tax'!F88</f>
        <v>25.5496625731137</v>
      </c>
      <c r="G59" s="248">
        <f>'R7 - Financing'!G87+'R10 - Tax'!G88</f>
        <v>18.529640683475307</v>
      </c>
      <c r="H59" s="248">
        <f>'R7 - Financing'!H87+'R10 - Tax'!H88</f>
        <v>11.503988603421075</v>
      </c>
      <c r="I59" s="248">
        <f>'R7 - Financing'!I87+'R10 - Tax'!I88</f>
        <v>9.6612451291887567</v>
      </c>
      <c r="J59" s="248">
        <f>'R7 - Financing'!J87+'R10 - Tax'!J88</f>
        <v>11.518725389145859</v>
      </c>
      <c r="K59" s="248">
        <f>'R7 - Financing'!K87+'R10 - Tax'!K88</f>
        <v>6.9429796271609145</v>
      </c>
      <c r="M59" s="95">
        <f>SUM(D59:INDEX(D59:K59,0,MATCH('RFPR cover'!$C$7,$D$6:$K$6,0)))</f>
        <v>48.401370967800304</v>
      </c>
      <c r="N59" s="95">
        <f t="shared" ref="N59:N60" si="19">SUM(D59:K59)</f>
        <v>88.028309716716905</v>
      </c>
    </row>
    <row r="60" spans="2:14">
      <c r="B60" s="253" t="s">
        <v>431</v>
      </c>
      <c r="C60" s="357" t="str">
        <f>'RFPR cover'!$C$14</f>
        <v>£m 12/13</v>
      </c>
      <c r="D60" s="248">
        <f>'R7 - Financing'!D89+'R10 - Tax'!D89</f>
        <v>1.0527611335032816</v>
      </c>
      <c r="E60" s="248">
        <f>'R7 - Financing'!E89+'R10 - Tax'!E89</f>
        <v>0.86709991439540346</v>
      </c>
      <c r="F60" s="248">
        <f>'R7 - Financing'!F89+'R10 - Tax'!F89</f>
        <v>-0.13916444352279456</v>
      </c>
      <c r="G60" s="248">
        <f>'R7 - Financing'!G89+'R10 - Tax'!G89</f>
        <v>0.12249031376941133</v>
      </c>
      <c r="H60" s="248">
        <f>'R7 - Financing'!H89+'R10 - Tax'!H89</f>
        <v>0.21346754989754047</v>
      </c>
      <c r="I60" s="248">
        <f>'R7 - Financing'!I89+'R10 - Tax'!I89</f>
        <v>-4.8193735567565454E-3</v>
      </c>
      <c r="J60" s="248">
        <f>'R7 - Financing'!J89+'R10 - Tax'!J89</f>
        <v>6.4518316074160253E-3</v>
      </c>
      <c r="K60" s="248">
        <f>'R7 - Financing'!K89+'R10 - Tax'!K89</f>
        <v>1.9502968136423604E-2</v>
      </c>
      <c r="M60" s="95">
        <f>SUM(D60:INDEX(D60:K60,0,MATCH('RFPR cover'!$C$7,$D$6:$K$6,0)))</f>
        <v>1.9031869181453018</v>
      </c>
      <c r="N60" s="95">
        <f t="shared" si="19"/>
        <v>2.1377898942299254</v>
      </c>
    </row>
    <row r="61" spans="2:14">
      <c r="B61" s="253" t="s">
        <v>437</v>
      </c>
      <c r="C61" s="357" t="str">
        <f>'RFPR cover'!$C$14</f>
        <v>£m 12/13</v>
      </c>
      <c r="D61" s="248">
        <f>'R10 - Tax'!D81-'R10 - Tax'!D88</f>
        <v>-1.2383880213177711</v>
      </c>
      <c r="E61" s="248">
        <f>'R10 - Tax'!E81-'R10 - Tax'!E88</f>
        <v>-4.2676867296662913</v>
      </c>
      <c r="F61" s="248">
        <f>'R10 - Tax'!F81-'R10 - Tax'!F88</f>
        <v>-4.9506977780620147</v>
      </c>
      <c r="G61" s="248">
        <f>'R10 - Tax'!G81-'R10 - Tax'!G88</f>
        <v>-3.1263297385497886</v>
      </c>
      <c r="H61" s="248">
        <f>'R10 - Tax'!H81-'R10 - Tax'!H88</f>
        <v>-0.94911938345929414</v>
      </c>
      <c r="I61" s="248">
        <f>'R10 - Tax'!I81-'R10 - Tax'!I88</f>
        <v>-1.464185446443885</v>
      </c>
      <c r="J61" s="248">
        <f>'R10 - Tax'!J81-'R10 - Tax'!J88</f>
        <v>-0.18161337027186342</v>
      </c>
      <c r="K61" s="248">
        <f>'R10 - Tax'!K81-'R10 - Tax'!K88</f>
        <v>0.58366786910683111</v>
      </c>
      <c r="M61" s="95">
        <f>SUM(D61:INDEX(D61:K61,0,MATCH('RFPR cover'!$C$7,$D$6:$K$6,0)))</f>
        <v>-13.583102267595866</v>
      </c>
      <c r="N61" s="95">
        <f>SUM(D61:K61)</f>
        <v>-15.594352598664075</v>
      </c>
    </row>
    <row r="62" spans="2:14">
      <c r="B62" s="253" t="s">
        <v>432</v>
      </c>
      <c r="C62" s="357" t="str">
        <f>'RFPR cover'!$C$14</f>
        <v>£m 12/13</v>
      </c>
      <c r="D62" s="248">
        <f>'R10 - Tax'!D83-'R10 - Tax'!D89</f>
        <v>-0.21055222670065632</v>
      </c>
      <c r="E62" s="248">
        <f>'R10 - Tax'!E83-'R10 - Tax'!E89</f>
        <v>-0.17341998287908034</v>
      </c>
      <c r="F62" s="248">
        <f>'R10 - Tax'!F83-'R10 - Tax'!F89</f>
        <v>2.6441244269332032E-2</v>
      </c>
      <c r="G62" s="248">
        <f>'R10 - Tax'!G83-'R10 - Tax'!G89</f>
        <v>-2.3273159616188366E-2</v>
      </c>
      <c r="H62" s="248">
        <f>'R10 - Tax'!H83-'R10 - Tax'!H89</f>
        <v>-4.0558834480533434E-2</v>
      </c>
      <c r="I62" s="248">
        <f>'R10 - Tax'!I83-'R10 - Tax'!I89</f>
        <v>8.1929350464804429E-4</v>
      </c>
      <c r="J62" s="248">
        <f>'R10 - Tax'!J83-'R10 - Tax'!J89</f>
        <v>-1.0968113732605644E-3</v>
      </c>
      <c r="K62" s="248">
        <f>'R10 - Tax'!K83-'R10 - Tax'!K89</f>
        <v>-3.3155045831936292E-3</v>
      </c>
      <c r="M62" s="95">
        <f>SUM(D62:INDEX(D62:K62,0,MATCH('RFPR cover'!$C$7,$D$6:$K$6,0)))</f>
        <v>-0.38080412492659299</v>
      </c>
      <c r="N62" s="95">
        <f>SUM(D62:K62)</f>
        <v>-0.42495598185893257</v>
      </c>
    </row>
    <row r="63" spans="2:14">
      <c r="B63" s="254" t="s">
        <v>104</v>
      </c>
      <c r="C63" s="357" t="str">
        <f>'RFPR cover'!$C$14</f>
        <v>£m 12/13</v>
      </c>
      <c r="D63" s="251">
        <f>SUM(D58:D62)</f>
        <v>34.108054596028168</v>
      </c>
      <c r="E63" s="152">
        <f t="shared" ref="E63:K63" si="20">SUM(E58:E62)</f>
        <v>44.420345574415308</v>
      </c>
      <c r="F63" s="152">
        <f t="shared" si="20"/>
        <v>60.470634501192251</v>
      </c>
      <c r="G63" s="152">
        <f t="shared" si="20"/>
        <v>53.843417238200182</v>
      </c>
      <c r="H63" s="152">
        <f t="shared" si="20"/>
        <v>50.483248240332856</v>
      </c>
      <c r="I63" s="152">
        <f t="shared" si="20"/>
        <v>47.975437554700527</v>
      </c>
      <c r="J63" s="152">
        <f t="shared" si="20"/>
        <v>50.634642296915843</v>
      </c>
      <c r="K63" s="153">
        <f t="shared" si="20"/>
        <v>45.343024657208389</v>
      </c>
      <c r="M63" s="151">
        <f>SUM(M58:M62)</f>
        <v>192.84245190983592</v>
      </c>
      <c r="N63" s="153">
        <f>SUM(N58:N62)</f>
        <v>387.27880465899352</v>
      </c>
    </row>
    <row r="64" spans="2:14">
      <c r="B64" s="253"/>
      <c r="D64" s="442"/>
    </row>
    <row r="65" spans="2:11">
      <c r="B65" s="253" t="s">
        <v>232</v>
      </c>
      <c r="C65" s="357" t="str">
        <f>'RFPR cover'!$C$14</f>
        <v>£m 12/13</v>
      </c>
      <c r="D65" s="247">
        <f>'R9 - RAV'!D46</f>
        <v>524.08023885296836</v>
      </c>
      <c r="E65" s="186">
        <f>'R9 - RAV'!E46</f>
        <v>527.96394993846457</v>
      </c>
      <c r="F65" s="186">
        <f>'R9 - RAV'!F46</f>
        <v>533.89682990924814</v>
      </c>
      <c r="G65" s="186">
        <f>'R9 - RAV'!G46</f>
        <v>542.62534248386919</v>
      </c>
      <c r="H65" s="186">
        <f>'R9 - RAV'!H46</f>
        <v>551.87222077818296</v>
      </c>
      <c r="I65" s="186">
        <f>'R9 - RAV'!I46</f>
        <v>557.53008187323587</v>
      </c>
      <c r="J65" s="186">
        <f>'R9 - RAV'!J46</f>
        <v>558.34046068379882</v>
      </c>
      <c r="K65" s="187">
        <f>'R9 - RAV'!K46</f>
        <v>555.47222705027616</v>
      </c>
    </row>
    <row r="66" spans="2:11">
      <c r="B66" s="253" t="s">
        <v>107</v>
      </c>
      <c r="C66" s="357" t="str">
        <f>'RFPR cover'!$C$14</f>
        <v>£m 12/13</v>
      </c>
      <c r="D66" s="252">
        <f>'R8 - Net Debt'!D62</f>
        <v>560.8853058812673</v>
      </c>
      <c r="E66" s="190">
        <f>'R8 - Net Debt'!E62</f>
        <v>579.85153219002666</v>
      </c>
      <c r="F66" s="190">
        <f>'R8 - Net Debt'!F62</f>
        <v>582.41818761420075</v>
      </c>
      <c r="G66" s="190">
        <f>'R8 - Net Debt'!G62</f>
        <v>591.37682452970432</v>
      </c>
      <c r="H66" s="190">
        <f>'R8 - Net Debt'!H62</f>
        <v>577.98266358579633</v>
      </c>
      <c r="I66" s="190">
        <f>'R8 - Net Debt'!I62</f>
        <v>556.98669796024012</v>
      </c>
      <c r="J66" s="190">
        <f>'R8 - Net Debt'!J62</f>
        <v>559.39963429054512</v>
      </c>
      <c r="K66" s="191">
        <f>'R8 - Net Debt'!K62</f>
        <v>557.51023120277853</v>
      </c>
    </row>
  </sheetData>
  <conditionalFormatting sqref="D5:K6">
    <cfRule type="expression" dxfId="57"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90" zoomScaleNormal="9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4.375" style="221" customWidth="1"/>
    <col min="3" max="3" width="13.375" style="142" customWidth="1"/>
    <col min="4" max="11" width="11.125" customWidth="1"/>
    <col min="12" max="12" width="5" style="43" customWidth="1"/>
  </cols>
  <sheetData>
    <row r="1" spans="1:12" s="32" customFormat="1" ht="20.25">
      <c r="A1" s="264" t="s">
        <v>119</v>
      </c>
      <c r="B1" s="795"/>
      <c r="C1" s="285"/>
      <c r="D1" s="284"/>
      <c r="E1" s="284"/>
      <c r="F1" s="284"/>
      <c r="G1" s="284"/>
      <c r="H1" s="284"/>
      <c r="I1" s="284"/>
      <c r="J1" s="284"/>
      <c r="K1" s="284"/>
      <c r="L1" s="286"/>
    </row>
    <row r="2" spans="1:12" s="32" customFormat="1" ht="20.25">
      <c r="A2" s="124" t="str">
        <f>'RFPR cover'!C5</f>
        <v>SPD</v>
      </c>
      <c r="B2" s="410"/>
      <c r="C2" s="140"/>
      <c r="D2" s="30"/>
      <c r="E2" s="30"/>
      <c r="F2" s="30"/>
      <c r="G2" s="30"/>
      <c r="H2" s="30"/>
      <c r="I2" s="27"/>
      <c r="J2" s="27"/>
      <c r="K2" s="27"/>
      <c r="L2" s="125"/>
    </row>
    <row r="3" spans="1:12" s="32" customFormat="1" ht="20.25">
      <c r="A3" s="269">
        <f>'RFPR cover'!C7</f>
        <v>2019</v>
      </c>
      <c r="B3" s="411"/>
      <c r="C3" s="287"/>
      <c r="D3" s="270"/>
      <c r="E3" s="270"/>
      <c r="F3" s="270"/>
      <c r="G3" s="270"/>
      <c r="H3" s="270"/>
      <c r="I3" s="263"/>
      <c r="J3" s="263"/>
      <c r="K3" s="263"/>
      <c r="L3" s="271"/>
    </row>
    <row r="4" spans="1:12" s="36" customFormat="1" ht="12.75" customHeight="1">
      <c r="B4" s="231"/>
      <c r="C4" s="144"/>
      <c r="L4" s="58"/>
    </row>
    <row r="5" spans="1:12" s="2" customFormat="1" ht="12.75" customHeight="1">
      <c r="B5" s="132"/>
      <c r="C5" s="142"/>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c r="L5" s="55"/>
    </row>
    <row r="6" spans="1:12" s="2" customFormat="1" ht="12.75" customHeight="1">
      <c r="B6" s="132"/>
      <c r="C6" s="142"/>
      <c r="D6" s="90">
        <f>'RFPR cover'!$C$13</f>
        <v>2016</v>
      </c>
      <c r="E6" s="91">
        <f>D6+1</f>
        <v>2017</v>
      </c>
      <c r="F6" s="91">
        <f t="shared" ref="F6:K6" si="0">E6+1</f>
        <v>2018</v>
      </c>
      <c r="G6" s="91">
        <f t="shared" si="0"/>
        <v>2019</v>
      </c>
      <c r="H6" s="91">
        <f t="shared" si="0"/>
        <v>2020</v>
      </c>
      <c r="I6" s="91">
        <f t="shared" si="0"/>
        <v>2021</v>
      </c>
      <c r="J6" s="91">
        <f t="shared" si="0"/>
        <v>2022</v>
      </c>
      <c r="K6" s="91">
        <f t="shared" si="0"/>
        <v>2023</v>
      </c>
      <c r="L6" s="55"/>
    </row>
    <row r="7" spans="1:12" s="2" customFormat="1">
      <c r="B7" s="796"/>
      <c r="C7" s="158"/>
      <c r="D7" s="51"/>
      <c r="E7" s="51"/>
      <c r="F7" s="51"/>
      <c r="G7" s="51"/>
      <c r="H7" s="51"/>
      <c r="I7" s="51"/>
      <c r="J7" s="51"/>
      <c r="K7" s="51"/>
      <c r="L7" s="58"/>
    </row>
    <row r="8" spans="1:12" s="2" customFormat="1">
      <c r="B8" s="797" t="s">
        <v>155</v>
      </c>
      <c r="C8" s="156"/>
      <c r="D8" s="80"/>
      <c r="E8" s="80"/>
      <c r="F8" s="80"/>
      <c r="G8" s="80"/>
      <c r="H8" s="80"/>
      <c r="I8" s="80"/>
      <c r="J8" s="80"/>
      <c r="K8" s="80"/>
      <c r="L8" s="282"/>
    </row>
    <row r="9" spans="1:12" s="36" customFormat="1">
      <c r="A9" s="2"/>
      <c r="B9" s="798"/>
      <c r="C9" s="144"/>
      <c r="L9" s="58"/>
    </row>
    <row r="10" spans="1:12" s="2" customFormat="1">
      <c r="B10" s="799" t="s">
        <v>384</v>
      </c>
      <c r="C10" s="157" t="str">
        <f>'RFPR cover'!$C$14</f>
        <v>£m 12/13</v>
      </c>
      <c r="D10" s="618">
        <v>338.3</v>
      </c>
      <c r="E10" s="619">
        <v>346</v>
      </c>
      <c r="F10" s="619">
        <v>346</v>
      </c>
      <c r="G10" s="619">
        <v>346</v>
      </c>
      <c r="H10" s="619"/>
      <c r="I10" s="619"/>
      <c r="J10" s="619"/>
      <c r="K10" s="619"/>
      <c r="L10" s="58"/>
    </row>
    <row r="11" spans="1:12" s="2" customFormat="1">
      <c r="B11" s="799" t="s">
        <v>385</v>
      </c>
      <c r="C11" s="157" t="str">
        <f>'RFPR cover'!$C$14</f>
        <v>£m 12/13</v>
      </c>
      <c r="D11" s="620">
        <v>0</v>
      </c>
      <c r="E11" s="621">
        <v>0.3</v>
      </c>
      <c r="F11" s="621">
        <v>-4.0999999999999996</v>
      </c>
      <c r="G11" s="621">
        <v>-4</v>
      </c>
      <c r="H11" s="621"/>
      <c r="I11" s="621"/>
      <c r="J11" s="621"/>
      <c r="K11" s="621"/>
      <c r="L11" s="58"/>
    </row>
    <row r="12" spans="1:12" s="2" customFormat="1">
      <c r="B12" s="799" t="s">
        <v>147</v>
      </c>
      <c r="C12" s="157" t="str">
        <f>'RFPR cover'!$C$14</f>
        <v>£m 12/13</v>
      </c>
      <c r="D12" s="620">
        <v>0</v>
      </c>
      <c r="E12" s="621">
        <v>0</v>
      </c>
      <c r="F12" s="621">
        <v>-7.4417655760262678</v>
      </c>
      <c r="G12" s="621">
        <v>-1.3626111344825687</v>
      </c>
      <c r="H12" s="621"/>
      <c r="I12" s="621"/>
      <c r="J12" s="621"/>
      <c r="K12" s="621"/>
      <c r="L12" s="58"/>
    </row>
    <row r="13" spans="1:12" s="2" customFormat="1">
      <c r="B13" s="799" t="s">
        <v>373</v>
      </c>
      <c r="C13" s="158" t="s">
        <v>127</v>
      </c>
      <c r="D13" s="849">
        <v>1.0820000000000001</v>
      </c>
      <c r="E13" s="850">
        <v>1.087</v>
      </c>
      <c r="F13" s="850">
        <v>1.121</v>
      </c>
      <c r="G13" s="850">
        <v>1.159</v>
      </c>
      <c r="H13" s="850"/>
      <c r="I13" s="850"/>
      <c r="J13" s="850"/>
      <c r="K13" s="850"/>
      <c r="L13" s="58"/>
    </row>
    <row r="14" spans="1:12" s="2" customFormat="1">
      <c r="B14" s="800" t="s">
        <v>196</v>
      </c>
      <c r="C14" s="276" t="s">
        <v>128</v>
      </c>
      <c r="D14" s="652">
        <f>SUM(D10:D12)*D13</f>
        <v>366.04060000000004</v>
      </c>
      <c r="E14" s="653">
        <f t="shared" ref="E14:G14" si="1">SUM(E10:E12)*E13</f>
        <v>376.42810000000003</v>
      </c>
      <c r="F14" s="653">
        <f t="shared" si="1"/>
        <v>374.92768078927452</v>
      </c>
      <c r="G14" s="653">
        <f t="shared" si="1"/>
        <v>394.79873369513473</v>
      </c>
      <c r="H14" s="653">
        <f t="shared" ref="H14:K14" si="2">SUM(H10:H12)*H13</f>
        <v>0</v>
      </c>
      <c r="I14" s="653">
        <f t="shared" si="2"/>
        <v>0</v>
      </c>
      <c r="J14" s="653">
        <f t="shared" si="2"/>
        <v>0</v>
      </c>
      <c r="K14" s="654">
        <f t="shared" si="2"/>
        <v>0</v>
      </c>
      <c r="L14" s="58"/>
    </row>
    <row r="15" spans="1:12" s="2" customFormat="1">
      <c r="B15" s="221" t="s">
        <v>131</v>
      </c>
      <c r="C15" s="158" t="s">
        <v>128</v>
      </c>
      <c r="D15" s="622">
        <f>'R5 - Output Incentives'!D102</f>
        <v>7.1489569499999979</v>
      </c>
      <c r="E15" s="623">
        <f>'R5 - Output Incentives'!E102</f>
        <v>11.195117099999999</v>
      </c>
      <c r="F15" s="624">
        <f>'R5 - Output Incentives'!F102</f>
        <v>11.983420297039988</v>
      </c>
      <c r="G15" s="624">
        <f>'R5 - Output Incentives'!G102</f>
        <v>15.91923194848842</v>
      </c>
      <c r="H15" s="624">
        <f>'R5 - Output Incentives'!H102</f>
        <v>15.188988091384774</v>
      </c>
      <c r="I15" s="624">
        <f>'R5 - Output Incentives'!I102</f>
        <v>10.861170444552505</v>
      </c>
      <c r="J15" s="624">
        <f>'R5 - Output Incentives'!J102</f>
        <v>12.750371489622863</v>
      </c>
      <c r="K15" s="625">
        <f>'R5 - Output Incentives'!K102</f>
        <v>11.461578472522403</v>
      </c>
      <c r="L15" s="58"/>
    </row>
    <row r="16" spans="1:12" s="2" customFormat="1">
      <c r="B16" s="801" t="s">
        <v>386</v>
      </c>
      <c r="C16" s="158" t="s">
        <v>128</v>
      </c>
      <c r="D16" s="620">
        <v>0</v>
      </c>
      <c r="E16" s="621">
        <v>0</v>
      </c>
      <c r="F16" s="621">
        <v>1.0375648208223351</v>
      </c>
      <c r="G16" s="621">
        <v>2.5806958054539297</v>
      </c>
      <c r="H16" s="621"/>
      <c r="I16" s="621"/>
      <c r="J16" s="621"/>
      <c r="K16" s="621"/>
      <c r="L16" s="58"/>
    </row>
    <row r="17" spans="2:12" s="2" customFormat="1">
      <c r="B17" s="801" t="s">
        <v>134</v>
      </c>
      <c r="C17" s="158" t="s">
        <v>128</v>
      </c>
      <c r="D17" s="622">
        <f>'R6 - Innovation'!D12</f>
        <v>1.6158688933408223</v>
      </c>
      <c r="E17" s="623">
        <f>'R6 - Innovation'!E12</f>
        <v>1.5988850487928483</v>
      </c>
      <c r="F17" s="624">
        <f>'R6 - Innovation'!F12</f>
        <v>1.4578123856916161</v>
      </c>
      <c r="G17" s="624">
        <f>'R6 - Innovation'!G12</f>
        <v>1.5862994680070253</v>
      </c>
      <c r="H17" s="624">
        <f>'R6 - Innovation'!H12</f>
        <v>1.53</v>
      </c>
      <c r="I17" s="624">
        <f>'R6 - Innovation'!I12</f>
        <v>1.53</v>
      </c>
      <c r="J17" s="624">
        <f>'R6 - Innovation'!J12</f>
        <v>1.53</v>
      </c>
      <c r="K17" s="625">
        <f>'R6 - Innovation'!K12</f>
        <v>1.53</v>
      </c>
      <c r="L17" s="58"/>
    </row>
    <row r="18" spans="2:12" s="2" customFormat="1">
      <c r="B18" s="801" t="s">
        <v>133</v>
      </c>
      <c r="C18" s="158" t="s">
        <v>128</v>
      </c>
      <c r="D18" s="622">
        <f>'R6 - Innovation'!D17</f>
        <v>1.3859999999999999</v>
      </c>
      <c r="E18" s="623">
        <f>'R6 - Innovation'!E17</f>
        <v>7.2999999999999995E-2</v>
      </c>
      <c r="F18" s="624">
        <f>'R6 - Innovation'!F17</f>
        <v>0.21199999999999999</v>
      </c>
      <c r="G18" s="624">
        <f>'R6 - Innovation'!G17</f>
        <v>0.57399999999999995</v>
      </c>
      <c r="H18" s="624">
        <f>'R6 - Innovation'!H17</f>
        <v>7.850915E-2</v>
      </c>
      <c r="I18" s="624">
        <f>'R6 - Innovation'!I17</f>
        <v>0</v>
      </c>
      <c r="J18" s="624">
        <f>'R6 - Innovation'!J17</f>
        <v>0</v>
      </c>
      <c r="K18" s="625">
        <f>'R6 - Innovation'!K17</f>
        <v>0</v>
      </c>
      <c r="L18" s="58"/>
    </row>
    <row r="19" spans="2:12" s="2" customFormat="1">
      <c r="B19" s="565" t="s">
        <v>532</v>
      </c>
      <c r="C19" s="158" t="s">
        <v>128</v>
      </c>
      <c r="D19" s="620">
        <v>11.307214036158426</v>
      </c>
      <c r="E19" s="621">
        <v>3.9368775196877213</v>
      </c>
      <c r="F19" s="621">
        <v>0</v>
      </c>
      <c r="G19" s="621">
        <v>0</v>
      </c>
      <c r="H19" s="621"/>
      <c r="I19" s="621"/>
      <c r="J19" s="621"/>
      <c r="K19" s="621"/>
      <c r="L19" s="58"/>
    </row>
    <row r="20" spans="2:12" s="2" customFormat="1">
      <c r="B20" s="565" t="s">
        <v>243</v>
      </c>
      <c r="C20" s="158" t="s">
        <v>128</v>
      </c>
      <c r="D20" s="620"/>
      <c r="E20" s="621"/>
      <c r="F20" s="621"/>
      <c r="G20" s="621"/>
      <c r="H20" s="621"/>
      <c r="I20" s="621"/>
      <c r="J20" s="621"/>
      <c r="K20" s="621"/>
      <c r="L20" s="58"/>
    </row>
    <row r="21" spans="2:12" s="2" customFormat="1">
      <c r="B21" s="565" t="s">
        <v>243</v>
      </c>
      <c r="C21" s="158" t="s">
        <v>128</v>
      </c>
      <c r="D21" s="620"/>
      <c r="E21" s="621"/>
      <c r="F21" s="621"/>
      <c r="G21" s="621"/>
      <c r="H21" s="621"/>
      <c r="I21" s="621"/>
      <c r="J21" s="621"/>
      <c r="K21" s="621"/>
      <c r="L21" s="58"/>
    </row>
    <row r="22" spans="2:12" s="2" customFormat="1">
      <c r="B22" s="565" t="s">
        <v>243</v>
      </c>
      <c r="C22" s="158" t="s">
        <v>128</v>
      </c>
      <c r="D22" s="620"/>
      <c r="E22" s="621"/>
      <c r="F22" s="621"/>
      <c r="G22" s="621"/>
      <c r="H22" s="621"/>
      <c r="I22" s="621"/>
      <c r="J22" s="621"/>
      <c r="K22" s="621"/>
      <c r="L22" s="58"/>
    </row>
    <row r="23" spans="2:12" s="2" customFormat="1">
      <c r="B23" s="565" t="s">
        <v>243</v>
      </c>
      <c r="C23" s="158" t="s">
        <v>128</v>
      </c>
      <c r="D23" s="620"/>
      <c r="E23" s="621"/>
      <c r="F23" s="621"/>
      <c r="G23" s="621"/>
      <c r="H23" s="621"/>
      <c r="I23" s="621"/>
      <c r="J23" s="621"/>
      <c r="K23" s="621"/>
      <c r="L23" s="58"/>
    </row>
    <row r="24" spans="2:12" s="2" customFormat="1">
      <c r="B24" s="565" t="s">
        <v>243</v>
      </c>
      <c r="C24" s="158" t="s">
        <v>128</v>
      </c>
      <c r="D24" s="620"/>
      <c r="E24" s="621"/>
      <c r="F24" s="621"/>
      <c r="G24" s="621"/>
      <c r="H24" s="621"/>
      <c r="I24" s="621"/>
      <c r="J24" s="621"/>
      <c r="K24" s="621"/>
      <c r="L24" s="58"/>
    </row>
    <row r="25" spans="2:12" s="2" customFormat="1">
      <c r="B25" s="801" t="s">
        <v>135</v>
      </c>
      <c r="C25" s="158" t="s">
        <v>128</v>
      </c>
      <c r="D25" s="620">
        <v>3.7028664247015106</v>
      </c>
      <c r="E25" s="621">
        <v>0</v>
      </c>
      <c r="F25" s="621">
        <v>7.8747965616128361</v>
      </c>
      <c r="G25" s="621">
        <v>-6.6620664386984378</v>
      </c>
      <c r="H25" s="621"/>
      <c r="I25" s="621"/>
      <c r="J25" s="621"/>
      <c r="K25" s="621"/>
      <c r="L25" s="58"/>
    </row>
    <row r="26" spans="2:12" s="2" customFormat="1">
      <c r="B26" s="796" t="s">
        <v>148</v>
      </c>
      <c r="C26" s="158" t="s">
        <v>128</v>
      </c>
      <c r="D26" s="626">
        <f>SUM(D14:D24,-D25)</f>
        <v>383.79577345479782</v>
      </c>
      <c r="E26" s="627">
        <f t="shared" ref="E26:K26" si="3">SUM(E14:E24,-E25)</f>
        <v>393.23197966848056</v>
      </c>
      <c r="F26" s="627">
        <f t="shared" si="3"/>
        <v>381.74368173121564</v>
      </c>
      <c r="G26" s="627">
        <f t="shared" si="3"/>
        <v>422.12102735578259</v>
      </c>
      <c r="H26" s="627">
        <f t="shared" si="3"/>
        <v>16.797497241384772</v>
      </c>
      <c r="I26" s="627">
        <f t="shared" si="3"/>
        <v>12.391170444552504</v>
      </c>
      <c r="J26" s="627">
        <f t="shared" si="3"/>
        <v>14.280371489622862</v>
      </c>
      <c r="K26" s="628">
        <f t="shared" si="3"/>
        <v>12.991578472522402</v>
      </c>
      <c r="L26" s="58"/>
    </row>
    <row r="27" spans="2:12" s="2" customFormat="1">
      <c r="B27" s="231"/>
      <c r="C27" s="938"/>
      <c r="D27" s="938"/>
      <c r="E27" s="938"/>
      <c r="F27" s="938"/>
      <c r="G27" s="938"/>
      <c r="H27" s="61"/>
      <c r="I27" s="61"/>
      <c r="J27" s="61"/>
      <c r="K27" s="61"/>
      <c r="L27" s="58"/>
    </row>
    <row r="28" spans="2:12" s="2" customFormat="1">
      <c r="B28" s="231" t="s">
        <v>150</v>
      </c>
      <c r="C28" s="144"/>
      <c r="D28" s="626">
        <f>IF(ISBLANK(D33),0,D33-D26)</f>
        <v>7.5812265452021848</v>
      </c>
      <c r="E28" s="627">
        <f t="shared" ref="E28:K28" si="4">IF(ISBLANK(E33),0,E33-E26)</f>
        <v>-6.4229796684805365</v>
      </c>
      <c r="F28" s="627">
        <f t="shared" si="4"/>
        <v>-4.3904877278823733</v>
      </c>
      <c r="G28" s="627">
        <f t="shared" si="4"/>
        <v>-16.002655046226891</v>
      </c>
      <c r="H28" s="627">
        <f t="shared" si="4"/>
        <v>0</v>
      </c>
      <c r="I28" s="627">
        <f t="shared" si="4"/>
        <v>0</v>
      </c>
      <c r="J28" s="627">
        <f t="shared" si="4"/>
        <v>0</v>
      </c>
      <c r="K28" s="628">
        <f t="shared" si="4"/>
        <v>0</v>
      </c>
      <c r="L28" s="58"/>
    </row>
    <row r="29" spans="2:12" s="2" customFormat="1">
      <c r="B29" s="231"/>
      <c r="C29" s="144"/>
      <c r="D29" s="36"/>
      <c r="E29" s="36"/>
      <c r="F29" s="36"/>
      <c r="G29" s="36"/>
      <c r="H29" s="36"/>
      <c r="I29" s="36"/>
      <c r="J29" s="36"/>
      <c r="K29" s="36"/>
      <c r="L29" s="58"/>
    </row>
    <row r="30" spans="2:12" s="2" customFormat="1">
      <c r="B30" s="231"/>
      <c r="C30" s="144"/>
      <c r="D30" s="36"/>
      <c r="E30" s="36"/>
      <c r="F30" s="36"/>
      <c r="G30" s="36"/>
      <c r="H30" s="36"/>
      <c r="I30" s="36"/>
      <c r="J30" s="36"/>
      <c r="K30" s="36"/>
      <c r="L30" s="58"/>
    </row>
    <row r="31" spans="2:12" s="2" customFormat="1">
      <c r="B31" s="797" t="s">
        <v>193</v>
      </c>
      <c r="C31" s="156"/>
      <c r="D31" s="80"/>
      <c r="E31" s="80"/>
      <c r="F31" s="80"/>
      <c r="G31" s="80"/>
      <c r="H31" s="80"/>
      <c r="I31" s="80"/>
      <c r="J31" s="80"/>
      <c r="K31" s="80"/>
      <c r="L31" s="283"/>
    </row>
    <row r="32" spans="2:12" s="2" customFormat="1">
      <c r="B32" s="231"/>
      <c r="C32" s="144"/>
      <c r="D32" s="36"/>
      <c r="E32" s="36"/>
      <c r="F32" s="36"/>
      <c r="G32" s="36"/>
      <c r="H32" s="36"/>
      <c r="I32" s="36"/>
      <c r="J32" s="36"/>
      <c r="K32" s="36"/>
      <c r="L32" s="58"/>
    </row>
    <row r="33" spans="2:12" s="2" customFormat="1">
      <c r="B33" s="798" t="s">
        <v>149</v>
      </c>
      <c r="C33" s="144"/>
      <c r="D33" s="661">
        <v>391.37700000000001</v>
      </c>
      <c r="E33" s="662">
        <v>386.80900000000003</v>
      </c>
      <c r="F33" s="662">
        <v>377.35319400333327</v>
      </c>
      <c r="G33" s="662">
        <v>406.1183723095557</v>
      </c>
      <c r="H33" s="662"/>
      <c r="I33" s="662"/>
      <c r="J33" s="662"/>
      <c r="K33" s="663"/>
      <c r="L33" s="58"/>
    </row>
    <row r="34" spans="2:12" s="2" customFormat="1">
      <c r="B34" s="132"/>
      <c r="C34" s="142"/>
      <c r="L34" s="58"/>
    </row>
    <row r="35" spans="2:12" s="2" customFormat="1">
      <c r="B35" s="413" t="s">
        <v>136</v>
      </c>
      <c r="C35" s="142"/>
      <c r="L35" s="58"/>
    </row>
    <row r="36" spans="2:12" s="2" customFormat="1">
      <c r="B36" s="930" t="s">
        <v>137</v>
      </c>
      <c r="C36" s="158" t="s">
        <v>128</v>
      </c>
      <c r="D36" s="618">
        <v>0</v>
      </c>
      <c r="E36" s="619">
        <v>0</v>
      </c>
      <c r="F36" s="619">
        <v>0</v>
      </c>
      <c r="G36" s="619">
        <v>0</v>
      </c>
      <c r="H36" s="619"/>
      <c r="I36" s="619"/>
      <c r="J36" s="619"/>
      <c r="K36" s="629"/>
      <c r="L36" s="58"/>
    </row>
    <row r="37" spans="2:12" s="2" customFormat="1">
      <c r="B37" s="930" t="s">
        <v>138</v>
      </c>
      <c r="C37" s="158" t="s">
        <v>128</v>
      </c>
      <c r="D37" s="620">
        <v>2.121</v>
      </c>
      <c r="E37" s="621">
        <v>2.298</v>
      </c>
      <c r="F37" s="621">
        <v>2.0459999999999998</v>
      </c>
      <c r="G37" s="621">
        <v>1.885</v>
      </c>
      <c r="H37" s="621"/>
      <c r="I37" s="621"/>
      <c r="J37" s="621"/>
      <c r="K37" s="630"/>
      <c r="L37" s="58"/>
    </row>
    <row r="38" spans="2:12" s="2" customFormat="1">
      <c r="B38" s="930" t="s">
        <v>139</v>
      </c>
      <c r="C38" s="158" t="s">
        <v>128</v>
      </c>
      <c r="D38" s="620">
        <v>81.477434499356008</v>
      </c>
      <c r="E38" s="621">
        <v>83.848190351963012</v>
      </c>
      <c r="F38" s="621">
        <v>53.0162497266667</v>
      </c>
      <c r="G38" s="621">
        <v>30.034413654444606</v>
      </c>
      <c r="H38" s="621"/>
      <c r="I38" s="621"/>
      <c r="J38" s="621"/>
      <c r="K38" s="630"/>
      <c r="L38" s="58"/>
    </row>
    <row r="39" spans="2:12" s="2" customFormat="1">
      <c r="B39" s="930" t="s">
        <v>140</v>
      </c>
      <c r="C39" s="158" t="s">
        <v>128</v>
      </c>
      <c r="D39" s="620">
        <v>0</v>
      </c>
      <c r="E39" s="621">
        <v>0</v>
      </c>
      <c r="F39" s="621">
        <v>0</v>
      </c>
      <c r="G39" s="621">
        <v>0</v>
      </c>
      <c r="H39" s="621"/>
      <c r="I39" s="621"/>
      <c r="J39" s="621"/>
      <c r="K39" s="630"/>
      <c r="L39" s="58"/>
    </row>
    <row r="40" spans="2:12" s="2" customFormat="1">
      <c r="B40" s="930" t="s">
        <v>141</v>
      </c>
      <c r="C40" s="158" t="s">
        <v>128</v>
      </c>
      <c r="D40" s="620">
        <v>0</v>
      </c>
      <c r="E40" s="621">
        <v>0</v>
      </c>
      <c r="F40" s="621">
        <v>0</v>
      </c>
      <c r="G40" s="621">
        <v>0</v>
      </c>
      <c r="H40" s="621"/>
      <c r="I40" s="621"/>
      <c r="J40" s="621"/>
      <c r="K40" s="630"/>
      <c r="L40" s="58"/>
    </row>
    <row r="41" spans="2:12" s="2" customFormat="1">
      <c r="B41" s="930" t="s">
        <v>142</v>
      </c>
      <c r="C41" s="158" t="s">
        <v>128</v>
      </c>
      <c r="D41" s="620">
        <v>0.15154741000000077</v>
      </c>
      <c r="E41" s="621">
        <v>0.10917241999999999</v>
      </c>
      <c r="F41" s="621">
        <v>4.2497899999999998E-2</v>
      </c>
      <c r="G41" s="621">
        <v>0</v>
      </c>
      <c r="H41" s="621"/>
      <c r="I41" s="621"/>
      <c r="J41" s="621"/>
      <c r="K41" s="630"/>
      <c r="L41" s="58"/>
    </row>
    <row r="42" spans="2:12" s="2" customFormat="1">
      <c r="B42" s="930" t="s">
        <v>143</v>
      </c>
      <c r="C42" s="158" t="s">
        <v>128</v>
      </c>
      <c r="D42" s="620">
        <v>0</v>
      </c>
      <c r="E42" s="621">
        <v>0</v>
      </c>
      <c r="F42" s="621">
        <v>0</v>
      </c>
      <c r="G42" s="621">
        <v>0</v>
      </c>
      <c r="H42" s="621"/>
      <c r="I42" s="621"/>
      <c r="J42" s="621"/>
      <c r="K42" s="630"/>
      <c r="L42" s="58"/>
    </row>
    <row r="43" spans="2:12" s="2" customFormat="1">
      <c r="B43" s="931" t="s">
        <v>144</v>
      </c>
      <c r="C43" s="158" t="s">
        <v>128</v>
      </c>
      <c r="D43" s="631">
        <v>0</v>
      </c>
      <c r="E43" s="632">
        <v>0</v>
      </c>
      <c r="F43" s="632">
        <v>0</v>
      </c>
      <c r="G43" s="632">
        <v>0</v>
      </c>
      <c r="H43" s="632"/>
      <c r="I43" s="632"/>
      <c r="J43" s="632"/>
      <c r="K43" s="633"/>
      <c r="L43" s="58"/>
    </row>
    <row r="44" spans="2:12" s="2" customFormat="1">
      <c r="B44" s="929" t="s">
        <v>526</v>
      </c>
      <c r="C44" s="158" t="s">
        <v>128</v>
      </c>
      <c r="D44" s="631"/>
      <c r="E44" s="632"/>
      <c r="F44" s="632"/>
      <c r="G44" s="632"/>
      <c r="H44" s="632"/>
      <c r="I44" s="632"/>
      <c r="J44" s="632"/>
      <c r="K44" s="633"/>
      <c r="L44" s="58"/>
    </row>
    <row r="45" spans="2:12" s="2" customFormat="1">
      <c r="B45" s="413" t="s">
        <v>176</v>
      </c>
      <c r="C45" s="158" t="s">
        <v>128</v>
      </c>
      <c r="D45" s="634">
        <f>SUM(D36:D44)</f>
        <v>83.749981909356009</v>
      </c>
      <c r="E45" s="635">
        <f t="shared" ref="E45:K45" si="5">SUM(E36:E44)</f>
        <v>86.255362771963007</v>
      </c>
      <c r="F45" s="635">
        <f t="shared" si="5"/>
        <v>55.1047476266667</v>
      </c>
      <c r="G45" s="635">
        <f t="shared" si="5"/>
        <v>31.919413654444607</v>
      </c>
      <c r="H45" s="635">
        <f t="shared" si="5"/>
        <v>0</v>
      </c>
      <c r="I45" s="635">
        <f t="shared" si="5"/>
        <v>0</v>
      </c>
      <c r="J45" s="635">
        <f t="shared" si="5"/>
        <v>0</v>
      </c>
      <c r="K45" s="636">
        <f t="shared" si="5"/>
        <v>0</v>
      </c>
      <c r="L45" s="58"/>
    </row>
    <row r="46" spans="2:12" s="2" customFormat="1">
      <c r="B46" s="132"/>
      <c r="C46" s="142"/>
      <c r="L46" s="58"/>
    </row>
    <row r="47" spans="2:12" s="2" customFormat="1">
      <c r="B47" s="413" t="s">
        <v>145</v>
      </c>
      <c r="C47" s="142"/>
      <c r="L47" s="55"/>
    </row>
    <row r="48" spans="2:12" s="2" customFormat="1">
      <c r="B48" s="940" t="s">
        <v>577</v>
      </c>
      <c r="C48" s="158" t="s">
        <v>128</v>
      </c>
      <c r="D48" s="637">
        <v>-13.661</v>
      </c>
      <c r="E48" s="638">
        <v>-11.881</v>
      </c>
      <c r="F48" s="638">
        <v>-9.8889999999999993</v>
      </c>
      <c r="G48" s="638">
        <v>-5.8407284200001417</v>
      </c>
      <c r="H48" s="638"/>
      <c r="I48" s="638"/>
      <c r="J48" s="638"/>
      <c r="K48" s="639"/>
      <c r="L48" s="58"/>
    </row>
    <row r="49" spans="2:12" s="2" customFormat="1">
      <c r="B49" s="940" t="s">
        <v>578</v>
      </c>
      <c r="C49" s="158" t="s">
        <v>128</v>
      </c>
      <c r="D49" s="640">
        <v>-0.152</v>
      </c>
      <c r="E49" s="641">
        <v>-0.109</v>
      </c>
      <c r="F49" s="641">
        <v>-4.2000000000000003E-2</v>
      </c>
      <c r="G49" s="641">
        <f>-G41</f>
        <v>0</v>
      </c>
      <c r="H49" s="641"/>
      <c r="I49" s="641"/>
      <c r="J49" s="641"/>
      <c r="K49" s="642"/>
      <c r="L49" s="58"/>
    </row>
    <row r="50" spans="2:12" s="2" customFormat="1">
      <c r="B50" s="940" t="s">
        <v>579</v>
      </c>
      <c r="C50" s="158" t="s">
        <v>128</v>
      </c>
      <c r="D50" s="640">
        <v>-55.314999999999998</v>
      </c>
      <c r="E50" s="641">
        <v>-60.927</v>
      </c>
      <c r="F50" s="641">
        <v>-33.768999999999998</v>
      </c>
      <c r="G50" s="641">
        <v>-16.256139040000019</v>
      </c>
      <c r="H50" s="641"/>
      <c r="I50" s="641"/>
      <c r="J50" s="641"/>
      <c r="K50" s="642"/>
      <c r="L50" s="58"/>
    </row>
    <row r="51" spans="2:12" s="2" customFormat="1">
      <c r="B51" s="940" t="s">
        <v>543</v>
      </c>
      <c r="C51" s="158" t="s">
        <v>128</v>
      </c>
      <c r="D51" s="640"/>
      <c r="E51" s="641"/>
      <c r="F51" s="641"/>
      <c r="G51" s="641">
        <v>21.663190570000001</v>
      </c>
      <c r="H51" s="641"/>
      <c r="I51" s="641"/>
      <c r="J51" s="641"/>
      <c r="K51" s="642"/>
      <c r="L51" s="58"/>
    </row>
    <row r="52" spans="2:12" s="2" customFormat="1">
      <c r="B52" s="940" t="s">
        <v>542</v>
      </c>
      <c r="C52" s="158" t="s">
        <v>128</v>
      </c>
      <c r="D52" s="640"/>
      <c r="E52" s="641"/>
      <c r="F52" s="641"/>
      <c r="G52" s="641">
        <v>0.54082004599985023</v>
      </c>
      <c r="H52" s="641"/>
      <c r="I52" s="641"/>
      <c r="J52" s="641"/>
      <c r="K52" s="642"/>
      <c r="L52" s="58"/>
    </row>
    <row r="53" spans="2:12" s="2" customFormat="1">
      <c r="B53" s="565" t="s">
        <v>243</v>
      </c>
      <c r="C53" s="158" t="s">
        <v>128</v>
      </c>
      <c r="D53" s="640"/>
      <c r="E53" s="641"/>
      <c r="F53" s="641"/>
      <c r="G53" s="641"/>
      <c r="H53" s="641"/>
      <c r="I53" s="641"/>
      <c r="J53" s="641"/>
      <c r="K53" s="642"/>
      <c r="L53" s="58"/>
    </row>
    <row r="54" spans="2:12" s="2" customFormat="1">
      <c r="B54" s="565" t="s">
        <v>243</v>
      </c>
      <c r="C54" s="158" t="s">
        <v>128</v>
      </c>
      <c r="D54" s="640"/>
      <c r="E54" s="641"/>
      <c r="F54" s="641"/>
      <c r="G54" s="641"/>
      <c r="H54" s="641"/>
      <c r="I54" s="641"/>
      <c r="J54" s="641"/>
      <c r="K54" s="642"/>
      <c r="L54" s="58"/>
    </row>
    <row r="55" spans="2:12" s="2" customFormat="1">
      <c r="B55" s="565" t="s">
        <v>243</v>
      </c>
      <c r="C55" s="158" t="s">
        <v>128</v>
      </c>
      <c r="D55" s="640"/>
      <c r="E55" s="641"/>
      <c r="F55" s="641"/>
      <c r="G55" s="641"/>
      <c r="H55" s="641"/>
      <c r="I55" s="641"/>
      <c r="J55" s="641"/>
      <c r="K55" s="642"/>
      <c r="L55" s="58"/>
    </row>
    <row r="56" spans="2:12" s="2" customFormat="1">
      <c r="B56" s="565" t="s">
        <v>243</v>
      </c>
      <c r="C56" s="158" t="s">
        <v>128</v>
      </c>
      <c r="D56" s="640"/>
      <c r="E56" s="641"/>
      <c r="F56" s="641"/>
      <c r="G56" s="641"/>
      <c r="H56" s="641"/>
      <c r="I56" s="641"/>
      <c r="J56" s="641"/>
      <c r="K56" s="642"/>
      <c r="L56" s="58"/>
    </row>
    <row r="57" spans="2:12" s="2" customFormat="1">
      <c r="B57" s="565" t="s">
        <v>243</v>
      </c>
      <c r="C57" s="158" t="s">
        <v>128</v>
      </c>
      <c r="D57" s="640"/>
      <c r="E57" s="641"/>
      <c r="F57" s="641"/>
      <c r="G57" s="641"/>
      <c r="H57" s="641"/>
      <c r="I57" s="641"/>
      <c r="J57" s="641"/>
      <c r="K57" s="642"/>
      <c r="L57" s="58"/>
    </row>
    <row r="58" spans="2:12" s="2" customFormat="1">
      <c r="B58" s="565" t="s">
        <v>243</v>
      </c>
      <c r="C58" s="158" t="s">
        <v>128</v>
      </c>
      <c r="D58" s="640"/>
      <c r="E58" s="641"/>
      <c r="F58" s="641"/>
      <c r="G58" s="641"/>
      <c r="H58" s="641"/>
      <c r="I58" s="641"/>
      <c r="J58" s="641"/>
      <c r="K58" s="642"/>
      <c r="L58" s="58"/>
    </row>
    <row r="59" spans="2:12" s="2" customFormat="1">
      <c r="B59" s="565" t="s">
        <v>243</v>
      </c>
      <c r="C59" s="158" t="s">
        <v>128</v>
      </c>
      <c r="D59" s="640"/>
      <c r="E59" s="641"/>
      <c r="F59" s="641"/>
      <c r="G59" s="641"/>
      <c r="H59" s="641"/>
      <c r="I59" s="641"/>
      <c r="J59" s="641"/>
      <c r="K59" s="642"/>
      <c r="L59" s="58"/>
    </row>
    <row r="60" spans="2:12" s="2" customFormat="1">
      <c r="B60" s="565" t="s">
        <v>243</v>
      </c>
      <c r="C60" s="158" t="s">
        <v>128</v>
      </c>
      <c r="D60" s="640"/>
      <c r="E60" s="641"/>
      <c r="F60" s="641"/>
      <c r="G60" s="641"/>
      <c r="H60" s="641"/>
      <c r="I60" s="641"/>
      <c r="J60" s="641"/>
      <c r="K60" s="642"/>
      <c r="L60" s="58"/>
    </row>
    <row r="61" spans="2:12" s="2" customFormat="1">
      <c r="B61" s="565" t="s">
        <v>243</v>
      </c>
      <c r="C61" s="158" t="s">
        <v>128</v>
      </c>
      <c r="D61" s="640"/>
      <c r="E61" s="641"/>
      <c r="F61" s="641"/>
      <c r="G61" s="641"/>
      <c r="H61" s="641"/>
      <c r="I61" s="641"/>
      <c r="J61" s="641"/>
      <c r="K61" s="642"/>
      <c r="L61" s="58"/>
    </row>
    <row r="62" spans="2:12" s="2" customFormat="1">
      <c r="B62" s="565" t="s">
        <v>243</v>
      </c>
      <c r="C62" s="158" t="s">
        <v>128</v>
      </c>
      <c r="D62" s="640"/>
      <c r="E62" s="641"/>
      <c r="F62" s="641"/>
      <c r="G62" s="641"/>
      <c r="H62" s="641"/>
      <c r="I62" s="641"/>
      <c r="J62" s="641"/>
      <c r="K62" s="642"/>
      <c r="L62" s="58"/>
    </row>
    <row r="63" spans="2:12" s="2" customFormat="1">
      <c r="B63" s="802" t="s">
        <v>154</v>
      </c>
      <c r="C63" s="158" t="s">
        <v>128</v>
      </c>
      <c r="D63" s="643"/>
      <c r="E63" s="644"/>
      <c r="F63" s="645"/>
      <c r="G63" s="644">
        <v>0.1</v>
      </c>
      <c r="H63" s="644"/>
      <c r="I63" s="644"/>
      <c r="J63" s="644"/>
      <c r="K63" s="646"/>
      <c r="L63" s="58"/>
    </row>
    <row r="64" spans="2:12" s="2" customFormat="1">
      <c r="B64" s="798" t="s">
        <v>177</v>
      </c>
      <c r="C64" s="158" t="s">
        <v>128</v>
      </c>
      <c r="D64" s="626">
        <f t="shared" ref="D64:K64" si="6">SUM(D48:D63)</f>
        <v>-69.128</v>
      </c>
      <c r="E64" s="627">
        <f t="shared" si="6"/>
        <v>-72.917000000000002</v>
      </c>
      <c r="F64" s="627">
        <f t="shared" si="6"/>
        <v>-43.699999999999996</v>
      </c>
      <c r="G64" s="627">
        <f t="shared" si="6"/>
        <v>0.20714315599968938</v>
      </c>
      <c r="H64" s="627">
        <f t="shared" si="6"/>
        <v>0</v>
      </c>
      <c r="I64" s="627">
        <f t="shared" si="6"/>
        <v>0</v>
      </c>
      <c r="J64" s="627">
        <f t="shared" si="6"/>
        <v>0</v>
      </c>
      <c r="K64" s="628">
        <f t="shared" si="6"/>
        <v>0</v>
      </c>
      <c r="L64" s="58"/>
    </row>
    <row r="65" spans="1:12" s="2" customFormat="1">
      <c r="B65" s="231"/>
      <c r="C65" s="144"/>
      <c r="D65" s="56"/>
      <c r="E65" s="56"/>
      <c r="F65" s="56"/>
      <c r="G65" s="56"/>
      <c r="H65" s="56"/>
      <c r="I65" s="56"/>
      <c r="J65" s="56"/>
      <c r="K65" s="56"/>
      <c r="L65" s="58"/>
    </row>
    <row r="66" spans="1:12" s="2" customFormat="1">
      <c r="B66" s="798" t="s">
        <v>146</v>
      </c>
      <c r="C66" s="158" t="s">
        <v>128</v>
      </c>
      <c r="D66" s="647">
        <f t="shared" ref="D66:K66" si="7">D33+D45+D64</f>
        <v>405.99898190935602</v>
      </c>
      <c r="E66" s="648">
        <f t="shared" si="7"/>
        <v>400.147362771963</v>
      </c>
      <c r="F66" s="648">
        <f t="shared" si="7"/>
        <v>388.75794163</v>
      </c>
      <c r="G66" s="648">
        <f>G33+G45+G64</f>
        <v>438.24492911999999</v>
      </c>
      <c r="H66" s="648">
        <f t="shared" si="7"/>
        <v>0</v>
      </c>
      <c r="I66" s="648">
        <f t="shared" si="7"/>
        <v>0</v>
      </c>
      <c r="J66" s="648">
        <f t="shared" si="7"/>
        <v>0</v>
      </c>
      <c r="K66" s="649">
        <f t="shared" si="7"/>
        <v>0</v>
      </c>
      <c r="L66" s="58"/>
    </row>
    <row r="67" spans="1:12" s="2" customFormat="1">
      <c r="B67" s="798" t="s">
        <v>194</v>
      </c>
      <c r="C67" s="158" t="s">
        <v>128</v>
      </c>
      <c r="D67" s="941">
        <v>406</v>
      </c>
      <c r="E67" s="941">
        <v>400.1</v>
      </c>
      <c r="F67" s="941">
        <v>388.8</v>
      </c>
      <c r="G67" s="650">
        <v>438.2</v>
      </c>
      <c r="H67" s="650"/>
      <c r="I67" s="650"/>
      <c r="J67" s="650"/>
      <c r="K67" s="651"/>
      <c r="L67" s="58"/>
    </row>
    <row r="68" spans="1:12" s="2" customFormat="1">
      <c r="B68" s="231" t="s">
        <v>122</v>
      </c>
      <c r="C68" s="144"/>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2" s="2" customFormat="1">
      <c r="B69" s="132"/>
      <c r="C69" s="144"/>
      <c r="D69" s="49"/>
      <c r="E69" s="49"/>
      <c r="F69" s="49"/>
      <c r="G69" s="49"/>
      <c r="H69" s="49"/>
      <c r="I69" s="49"/>
      <c r="J69" s="49"/>
      <c r="K69" s="49"/>
      <c r="L69" s="58"/>
    </row>
    <row r="70" spans="1:12" s="2" customFormat="1">
      <c r="B70" s="132"/>
      <c r="C70" s="142"/>
      <c r="L70" s="55"/>
    </row>
    <row r="71" spans="1:12" s="2" customFormat="1">
      <c r="A71" s="80"/>
      <c r="B71" s="803"/>
      <c r="C71" s="156"/>
      <c r="D71" s="80"/>
      <c r="E71" s="80"/>
      <c r="F71" s="80"/>
      <c r="G71" s="80"/>
      <c r="H71" s="80"/>
      <c r="I71" s="80"/>
      <c r="J71" s="80"/>
      <c r="K71" s="80"/>
      <c r="L71" s="282"/>
    </row>
  </sheetData>
  <conditionalFormatting sqref="D6:K6">
    <cfRule type="expression" dxfId="56" priority="49">
      <formula>AND(D$5="Actuals",E$5="Forecast")</formula>
    </cfRule>
  </conditionalFormatting>
  <conditionalFormatting sqref="D5:K5">
    <cfRule type="expression" dxfId="55" priority="42">
      <formula>AND(D$5="Actuals",E$5="Forecast")</formula>
    </cfRule>
  </conditionalFormatting>
  <conditionalFormatting sqref="D33:K33 D44:K45 D28:H28 D66:K68 H36:K43 D64:K64 H48:K63">
    <cfRule type="expression" dxfId="54" priority="41">
      <formula>D$5="Forecast"</formula>
    </cfRule>
  </conditionalFormatting>
  <conditionalFormatting sqref="I10:K26 I28:K28">
    <cfRule type="expression" dxfId="53" priority="40">
      <formula>I$5="Forecast"</formula>
    </cfRule>
  </conditionalFormatting>
  <conditionalFormatting sqref="H10:H26">
    <cfRule type="expression" dxfId="52" priority="39">
      <formula>H$5="Forecast"</formula>
    </cfRule>
  </conditionalFormatting>
  <conditionalFormatting sqref="G10:G26">
    <cfRule type="expression" dxfId="51" priority="38">
      <formula>G$5="Forecast"</formula>
    </cfRule>
  </conditionalFormatting>
  <conditionalFormatting sqref="D36:G43">
    <cfRule type="expression" dxfId="50" priority="25">
      <formula>D$5="Forecast"</formula>
    </cfRule>
  </conditionalFormatting>
  <conditionalFormatting sqref="G48:G50 D51:G63">
    <cfRule type="expression" dxfId="49" priority="3">
      <formula>D$5="Forecast"</formula>
    </cfRule>
  </conditionalFormatting>
  <conditionalFormatting sqref="D48:F49 D50:E50">
    <cfRule type="expression" dxfId="48" priority="2">
      <formula>D$5="Forecast"</formula>
    </cfRule>
  </conditionalFormatting>
  <conditionalFormatting sqref="F50">
    <cfRule type="expression" dxfId="47" priority="1">
      <formula>F$5="Forecast"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4.5" customWidth="1"/>
    <col min="3" max="3" width="13.375" style="142" customWidth="1"/>
    <col min="4" max="11" width="11.125" customWidth="1"/>
    <col min="12" max="12" width="5" customWidth="1"/>
  </cols>
  <sheetData>
    <row r="1" spans="1:12" s="32" customFormat="1" ht="20.25">
      <c r="A1" s="120" t="s">
        <v>311</v>
      </c>
      <c r="B1" s="122"/>
      <c r="C1" s="154"/>
      <c r="D1" s="122"/>
      <c r="E1" s="122"/>
      <c r="F1" s="122"/>
      <c r="G1" s="122"/>
      <c r="H1" s="122"/>
      <c r="I1" s="122"/>
      <c r="J1" s="122"/>
      <c r="K1" s="122"/>
      <c r="L1" s="123"/>
    </row>
    <row r="2" spans="1:12" s="32" customFormat="1" ht="20.25">
      <c r="A2" s="124" t="str">
        <f>'RFPR cover'!C5</f>
        <v>SPD</v>
      </c>
      <c r="B2" s="30"/>
      <c r="C2" s="140"/>
      <c r="D2" s="30"/>
      <c r="E2" s="30"/>
      <c r="F2" s="30"/>
      <c r="G2" s="30"/>
      <c r="H2" s="30"/>
      <c r="I2" s="27"/>
      <c r="J2" s="27"/>
      <c r="K2" s="27"/>
      <c r="L2" s="125"/>
    </row>
    <row r="3" spans="1:12" s="32" customFormat="1" ht="20.25">
      <c r="A3" s="126">
        <f>'RFPR cover'!C7</f>
        <v>2019</v>
      </c>
      <c r="B3" s="127"/>
      <c r="C3" s="155"/>
      <c r="D3" s="127"/>
      <c r="E3" s="127"/>
      <c r="F3" s="127"/>
      <c r="G3" s="127"/>
      <c r="H3" s="127"/>
      <c r="I3" s="29"/>
      <c r="J3" s="29"/>
      <c r="K3" s="29"/>
      <c r="L3" s="128"/>
    </row>
    <row r="4" spans="1:12" s="2" customFormat="1" ht="12.75" customHeight="1">
      <c r="C4" s="142"/>
    </row>
    <row r="5" spans="1:12" s="2" customFormat="1" ht="12.75" customHeight="1">
      <c r="B5" s="3"/>
      <c r="C5" s="142"/>
      <c r="D5" s="406" t="str">
        <f>IF(D6&lt;='RFPR cover'!$C$7,"Actuals","N/A")</f>
        <v>Actuals</v>
      </c>
      <c r="E5" s="407" t="str">
        <f>IF(E6&lt;='RFPR cover'!$C$7,"Actuals","N/A")</f>
        <v>Actuals</v>
      </c>
      <c r="F5" s="407" t="str">
        <f>IF(F6&lt;='RFPR cover'!$C$7,"Actuals","N/A")</f>
        <v>Actuals</v>
      </c>
      <c r="G5" s="407" t="str">
        <f>IF(G6&lt;='RFPR cover'!$C$7,"Actuals","N/A")</f>
        <v>Actuals</v>
      </c>
      <c r="H5" s="407" t="str">
        <f>IF(H6&lt;='RFPR cover'!$C$7,"Actuals","N/A")</f>
        <v>N/A</v>
      </c>
      <c r="I5" s="407" t="str">
        <f>IF(I6&lt;='RFPR cover'!$C$7,"Actuals","N/A")</f>
        <v>N/A</v>
      </c>
      <c r="J5" s="407" t="str">
        <f>IF(J6&lt;='RFPR cover'!$C$7,"Actuals","N/A")</f>
        <v>N/A</v>
      </c>
      <c r="K5" s="408" t="str">
        <f>IF(K6&lt;='RFPR cover'!$C$7,"Actuals","N/A")</f>
        <v>N/A</v>
      </c>
    </row>
    <row r="6" spans="1:12" s="2" customFormat="1" ht="12.75" customHeight="1">
      <c r="C6" s="142"/>
      <c r="D6" s="117">
        <f>'RFPR cover'!$C$13</f>
        <v>2016</v>
      </c>
      <c r="E6" s="118">
        <f>D6+1</f>
        <v>2017</v>
      </c>
      <c r="F6" s="118">
        <f t="shared" ref="F6:K6" si="0">E6+1</f>
        <v>2018</v>
      </c>
      <c r="G6" s="118">
        <f t="shared" si="0"/>
        <v>2019</v>
      </c>
      <c r="H6" s="118">
        <f t="shared" si="0"/>
        <v>2020</v>
      </c>
      <c r="I6" s="118">
        <f t="shared" si="0"/>
        <v>2021</v>
      </c>
      <c r="J6" s="118">
        <f t="shared" si="0"/>
        <v>2022</v>
      </c>
      <c r="K6" s="202">
        <f t="shared" si="0"/>
        <v>2023</v>
      </c>
    </row>
    <row r="7" spans="1:12" s="2" customFormat="1">
      <c r="C7" s="142"/>
    </row>
    <row r="8" spans="1:12" s="2" customFormat="1">
      <c r="B8" s="52" t="s">
        <v>317</v>
      </c>
      <c r="C8" s="143"/>
      <c r="D8" s="52"/>
      <c r="E8" s="52"/>
      <c r="F8" s="52"/>
      <c r="G8" s="52"/>
      <c r="H8" s="52"/>
      <c r="I8" s="52"/>
      <c r="J8" s="52"/>
      <c r="K8" s="52"/>
      <c r="L8" s="36"/>
    </row>
    <row r="9" spans="1:12" s="2" customFormat="1">
      <c r="B9" s="132" t="s">
        <v>160</v>
      </c>
      <c r="C9" s="158" t="s">
        <v>128</v>
      </c>
      <c r="D9" s="618">
        <v>210.59999999999982</v>
      </c>
      <c r="E9" s="619">
        <v>223.2000000000001</v>
      </c>
      <c r="F9" s="619">
        <v>185.39999999999989</v>
      </c>
      <c r="G9" s="619">
        <v>206.6</v>
      </c>
      <c r="H9" s="619"/>
      <c r="I9" s="619"/>
      <c r="J9" s="619"/>
      <c r="K9" s="629"/>
    </row>
    <row r="10" spans="1:12" s="2" customFormat="1">
      <c r="B10" s="132" t="s">
        <v>161</v>
      </c>
      <c r="C10" s="158" t="s">
        <v>128</v>
      </c>
      <c r="D10" s="620">
        <v>0</v>
      </c>
      <c r="E10" s="621">
        <v>0</v>
      </c>
      <c r="F10" s="621">
        <v>0</v>
      </c>
      <c r="G10" s="621">
        <v>0</v>
      </c>
      <c r="H10" s="621"/>
      <c r="I10" s="621"/>
      <c r="J10" s="621"/>
      <c r="K10" s="630"/>
    </row>
    <row r="11" spans="1:12" s="2" customFormat="1" ht="29.25" customHeight="1">
      <c r="B11" s="133" t="s">
        <v>453</v>
      </c>
      <c r="C11" s="158" t="s">
        <v>128</v>
      </c>
      <c r="D11" s="620">
        <v>-0.25398512000000001</v>
      </c>
      <c r="E11" s="621">
        <v>-0.17613429</v>
      </c>
      <c r="F11" s="621">
        <v>-0.31744864</v>
      </c>
      <c r="G11" s="621">
        <v>-5.0716279999999996E-2</v>
      </c>
      <c r="H11" s="621"/>
      <c r="I11" s="621"/>
      <c r="J11" s="621"/>
      <c r="K11" s="630"/>
    </row>
    <row r="12" spans="1:12" s="2" customFormat="1">
      <c r="B12" s="132" t="s">
        <v>162</v>
      </c>
      <c r="C12" s="158" t="s">
        <v>128</v>
      </c>
      <c r="D12" s="620">
        <v>-58.942541937671997</v>
      </c>
      <c r="E12" s="621">
        <v>-69.2</v>
      </c>
      <c r="F12" s="621">
        <v>-37</v>
      </c>
      <c r="G12" s="621">
        <v>-21.5</v>
      </c>
      <c r="H12" s="621"/>
      <c r="I12" s="621"/>
      <c r="J12" s="621"/>
      <c r="K12" s="630"/>
    </row>
    <row r="13" spans="1:12" s="2" customFormat="1">
      <c r="B13" s="132" t="s">
        <v>163</v>
      </c>
      <c r="C13" s="158" t="s">
        <v>128</v>
      </c>
      <c r="D13" s="620">
        <v>0</v>
      </c>
      <c r="E13" s="621">
        <v>0</v>
      </c>
      <c r="F13" s="621">
        <v>0</v>
      </c>
      <c r="G13" s="621">
        <v>0</v>
      </c>
      <c r="H13" s="621"/>
      <c r="I13" s="621"/>
      <c r="J13" s="621"/>
      <c r="K13" s="630"/>
    </row>
    <row r="14" spans="1:12" s="2" customFormat="1">
      <c r="B14" s="132" t="s">
        <v>164</v>
      </c>
      <c r="C14" s="158" t="s">
        <v>128</v>
      </c>
      <c r="D14" s="655">
        <v>0</v>
      </c>
      <c r="E14" s="656">
        <v>0</v>
      </c>
      <c r="F14" s="656">
        <v>0</v>
      </c>
      <c r="G14" s="656">
        <v>0</v>
      </c>
      <c r="H14" s="656"/>
      <c r="I14" s="656"/>
      <c r="J14" s="656"/>
      <c r="K14" s="657"/>
    </row>
    <row r="15" spans="1:12" s="2" customFormat="1">
      <c r="A15" s="3">
        <v>1</v>
      </c>
      <c r="B15" s="903" t="s">
        <v>243</v>
      </c>
      <c r="C15" s="158" t="s">
        <v>128</v>
      </c>
      <c r="D15" s="618">
        <v>0</v>
      </c>
      <c r="E15" s="619">
        <v>0</v>
      </c>
      <c r="F15" s="619">
        <v>0</v>
      </c>
      <c r="G15" s="619">
        <v>0</v>
      </c>
      <c r="H15" s="619"/>
      <c r="I15" s="619"/>
      <c r="J15" s="619"/>
      <c r="K15" s="629"/>
    </row>
    <row r="16" spans="1:12" s="2" customFormat="1">
      <c r="A16" s="3">
        <v>2</v>
      </c>
      <c r="B16" s="903" t="s">
        <v>243</v>
      </c>
      <c r="C16" s="158" t="s">
        <v>128</v>
      </c>
      <c r="D16" s="620">
        <v>0</v>
      </c>
      <c r="E16" s="621">
        <v>0</v>
      </c>
      <c r="F16" s="621">
        <v>0</v>
      </c>
      <c r="G16" s="621">
        <v>0</v>
      </c>
      <c r="H16" s="621"/>
      <c r="I16" s="621"/>
      <c r="J16" s="621"/>
      <c r="K16" s="630"/>
    </row>
    <row r="17" spans="1:11" s="2" customFormat="1">
      <c r="A17" s="3">
        <v>3</v>
      </c>
      <c r="B17" s="903" t="s">
        <v>243</v>
      </c>
      <c r="C17" s="158" t="s">
        <v>128</v>
      </c>
      <c r="D17" s="620">
        <v>0</v>
      </c>
      <c r="E17" s="621">
        <v>0</v>
      </c>
      <c r="F17" s="621">
        <v>0</v>
      </c>
      <c r="G17" s="621">
        <v>0</v>
      </c>
      <c r="H17" s="621"/>
      <c r="I17" s="621"/>
      <c r="J17" s="621"/>
      <c r="K17" s="630"/>
    </row>
    <row r="18" spans="1:11" s="2" customFormat="1">
      <c r="B18" s="12" t="s">
        <v>165</v>
      </c>
      <c r="C18" s="158" t="s">
        <v>128</v>
      </c>
      <c r="D18" s="658">
        <f>SUM(D9:D17)</f>
        <v>151.40347294232782</v>
      </c>
      <c r="E18" s="659">
        <f t="shared" ref="E18:K18" si="1">SUM(E9:E17)</f>
        <v>153.82386571000012</v>
      </c>
      <c r="F18" s="659">
        <f t="shared" si="1"/>
        <v>148.08255135999988</v>
      </c>
      <c r="G18" s="659">
        <f t="shared" si="1"/>
        <v>185.04928372000001</v>
      </c>
      <c r="H18" s="659">
        <f t="shared" si="1"/>
        <v>0</v>
      </c>
      <c r="I18" s="659">
        <f t="shared" si="1"/>
        <v>0</v>
      </c>
      <c r="J18" s="659">
        <f t="shared" si="1"/>
        <v>0</v>
      </c>
      <c r="K18" s="660">
        <f t="shared" si="1"/>
        <v>0</v>
      </c>
    </row>
    <row r="19" spans="1:11" s="2" customFormat="1">
      <c r="B19" s="132" t="s">
        <v>166</v>
      </c>
      <c r="C19" s="158" t="s">
        <v>128</v>
      </c>
      <c r="D19" s="661">
        <v>133.75398512000001</v>
      </c>
      <c r="E19" s="662">
        <v>137.19705494999999</v>
      </c>
      <c r="F19" s="662">
        <v>141.6698379</v>
      </c>
      <c r="G19" s="662">
        <v>150.25071628000001</v>
      </c>
      <c r="H19" s="662"/>
      <c r="I19" s="662"/>
      <c r="J19" s="662"/>
      <c r="K19" s="663"/>
    </row>
    <row r="20" spans="1:11" s="2" customFormat="1">
      <c r="A20" s="3">
        <v>1</v>
      </c>
      <c r="B20" s="903" t="s">
        <v>243</v>
      </c>
      <c r="C20" s="158" t="s">
        <v>128</v>
      </c>
      <c r="D20" s="618">
        <v>0</v>
      </c>
      <c r="E20" s="619">
        <v>0</v>
      </c>
      <c r="F20" s="619">
        <v>0</v>
      </c>
      <c r="G20" s="619">
        <v>0</v>
      </c>
      <c r="H20" s="619"/>
      <c r="I20" s="619"/>
      <c r="J20" s="619"/>
      <c r="K20" s="629"/>
    </row>
    <row r="21" spans="1:11" s="2" customFormat="1">
      <c r="A21" s="3">
        <v>2</v>
      </c>
      <c r="B21" s="903" t="s">
        <v>243</v>
      </c>
      <c r="C21" s="158" t="s">
        <v>128</v>
      </c>
      <c r="D21" s="620">
        <v>0</v>
      </c>
      <c r="E21" s="621">
        <v>0</v>
      </c>
      <c r="F21" s="621">
        <v>0</v>
      </c>
      <c r="G21" s="621">
        <v>0</v>
      </c>
      <c r="H21" s="621"/>
      <c r="I21" s="621"/>
      <c r="J21" s="621"/>
      <c r="K21" s="630"/>
    </row>
    <row r="22" spans="1:11" s="2" customFormat="1">
      <c r="A22" s="3">
        <v>3</v>
      </c>
      <c r="B22" s="903" t="s">
        <v>243</v>
      </c>
      <c r="C22" s="158" t="s">
        <v>128</v>
      </c>
      <c r="D22" s="620">
        <v>0</v>
      </c>
      <c r="E22" s="621">
        <v>0</v>
      </c>
      <c r="F22" s="621">
        <v>0</v>
      </c>
      <c r="G22" s="621">
        <v>0</v>
      </c>
      <c r="H22" s="621"/>
      <c r="I22" s="621"/>
      <c r="J22" s="621"/>
      <c r="K22" s="630"/>
    </row>
    <row r="23" spans="1:11" s="2" customFormat="1">
      <c r="B23" s="12" t="s">
        <v>167</v>
      </c>
      <c r="C23" s="158" t="s">
        <v>128</v>
      </c>
      <c r="D23" s="634">
        <f>SUM(D18:D22)</f>
        <v>285.15745806232781</v>
      </c>
      <c r="E23" s="635">
        <f t="shared" ref="E23:K23" si="2">SUM(E18:E22)</f>
        <v>291.02092066000012</v>
      </c>
      <c r="F23" s="635">
        <f t="shared" si="2"/>
        <v>289.75238925999986</v>
      </c>
      <c r="G23" s="635">
        <f t="shared" si="2"/>
        <v>335.3</v>
      </c>
      <c r="H23" s="635">
        <f t="shared" si="2"/>
        <v>0</v>
      </c>
      <c r="I23" s="635">
        <f t="shared" si="2"/>
        <v>0</v>
      </c>
      <c r="J23" s="635">
        <f t="shared" si="2"/>
        <v>0</v>
      </c>
      <c r="K23" s="636">
        <f t="shared" si="2"/>
        <v>0</v>
      </c>
    </row>
    <row r="24" spans="1:11" s="2" customFormat="1">
      <c r="C24" s="142"/>
      <c r="D24" s="53"/>
      <c r="E24" s="53"/>
      <c r="F24" s="53"/>
      <c r="G24" s="53"/>
      <c r="H24" s="53"/>
      <c r="I24" s="53"/>
      <c r="J24" s="53"/>
      <c r="K24" s="53"/>
    </row>
    <row r="25" spans="1:11" s="2" customFormat="1">
      <c r="B25" s="12" t="s">
        <v>443</v>
      </c>
      <c r="C25" s="158" t="s">
        <v>128</v>
      </c>
      <c r="D25" s="55"/>
    </row>
    <row r="26" spans="1:11" s="2" customFormat="1">
      <c r="A26" s="3">
        <v>1</v>
      </c>
      <c r="B26" s="542" t="s">
        <v>547</v>
      </c>
      <c r="C26" s="158" t="s">
        <v>128</v>
      </c>
      <c r="D26" s="618">
        <v>-2.1693392996000003</v>
      </c>
      <c r="E26" s="619">
        <v>0.12961291999999999</v>
      </c>
      <c r="F26" s="619">
        <v>0.29642393000000006</v>
      </c>
      <c r="G26" s="619">
        <v>-0.56750780000000001</v>
      </c>
      <c r="H26" s="619"/>
      <c r="I26" s="619"/>
      <c r="J26" s="619"/>
      <c r="K26" s="629"/>
    </row>
    <row r="27" spans="1:11" s="2" customFormat="1">
      <c r="A27" s="3">
        <v>2</v>
      </c>
      <c r="B27" s="542" t="s">
        <v>548</v>
      </c>
      <c r="C27" s="158" t="s">
        <v>128</v>
      </c>
      <c r="D27" s="620">
        <v>-2.8301274599999995</v>
      </c>
      <c r="E27" s="621">
        <v>-2.8755542799999998</v>
      </c>
      <c r="F27" s="621">
        <v>-3.6864828443302939</v>
      </c>
      <c r="G27" s="621">
        <v>-5.623181646579356</v>
      </c>
      <c r="H27" s="621"/>
      <c r="I27" s="621"/>
      <c r="J27" s="621"/>
      <c r="K27" s="630"/>
    </row>
    <row r="28" spans="1:11" s="2" customFormat="1">
      <c r="A28" s="3">
        <v>3</v>
      </c>
      <c r="B28" s="542" t="s">
        <v>549</v>
      </c>
      <c r="C28" s="158" t="s">
        <v>128</v>
      </c>
      <c r="D28" s="620">
        <v>7.694515329999998</v>
      </c>
      <c r="E28" s="621">
        <v>8.8860069481013024</v>
      </c>
      <c r="F28" s="621">
        <v>8.1707140000002685</v>
      </c>
      <c r="G28" s="621">
        <v>4.4707813274971855</v>
      </c>
      <c r="H28" s="621"/>
      <c r="I28" s="621"/>
      <c r="J28" s="621"/>
      <c r="K28" s="630"/>
    </row>
    <row r="29" spans="1:11" s="2" customFormat="1">
      <c r="A29" s="3">
        <v>4</v>
      </c>
      <c r="B29" s="542" t="s">
        <v>550</v>
      </c>
      <c r="C29" s="158" t="s">
        <v>128</v>
      </c>
      <c r="D29" s="620">
        <v>-3.3135392642452537</v>
      </c>
      <c r="E29" s="621">
        <v>-1.1725447734435457</v>
      </c>
      <c r="F29" s="621">
        <v>-6.6977438544225318</v>
      </c>
      <c r="G29" s="621">
        <v>0</v>
      </c>
      <c r="H29" s="621"/>
      <c r="I29" s="621"/>
      <c r="J29" s="621"/>
      <c r="K29" s="630"/>
    </row>
    <row r="30" spans="1:11" s="2" customFormat="1">
      <c r="A30" s="3">
        <v>5</v>
      </c>
      <c r="B30" s="542" t="s">
        <v>551</v>
      </c>
      <c r="C30" s="158" t="s">
        <v>128</v>
      </c>
      <c r="D30" s="620">
        <v>8.5614999999999997E-2</v>
      </c>
      <c r="E30" s="621">
        <v>5.4679999999999999E-2</v>
      </c>
      <c r="F30" s="621">
        <v>0.11409000000000001</v>
      </c>
      <c r="G30" s="621">
        <v>0</v>
      </c>
      <c r="H30" s="621"/>
      <c r="I30" s="621"/>
      <c r="J30" s="621"/>
      <c r="K30" s="630"/>
    </row>
    <row r="31" spans="1:11" s="2" customFormat="1">
      <c r="A31" s="3">
        <v>6</v>
      </c>
      <c r="B31" s="542" t="s">
        <v>552</v>
      </c>
      <c r="C31" s="158" t="s">
        <v>128</v>
      </c>
      <c r="D31" s="620">
        <v>7.1106316869611357</v>
      </c>
      <c r="E31" s="621">
        <v>9.1652695511682243</v>
      </c>
      <c r="F31" s="621">
        <v>7.324212366711925</v>
      </c>
      <c r="G31" s="621">
        <v>3.0675014520771655</v>
      </c>
      <c r="H31" s="621"/>
      <c r="I31" s="621"/>
      <c r="J31" s="621"/>
      <c r="K31" s="630"/>
    </row>
    <row r="32" spans="1:11" s="2" customFormat="1">
      <c r="A32" s="3">
        <v>7</v>
      </c>
      <c r="B32" s="542" t="s">
        <v>553</v>
      </c>
      <c r="C32" s="158" t="s">
        <v>128</v>
      </c>
      <c r="D32" s="620">
        <v>27.46</v>
      </c>
      <c r="E32" s="621">
        <v>34.084823744341811</v>
      </c>
      <c r="F32" s="621">
        <v>25.605000000689422</v>
      </c>
      <c r="G32" s="621">
        <v>26.603595000716304</v>
      </c>
      <c r="H32" s="621"/>
      <c r="I32" s="621"/>
      <c r="J32" s="621"/>
      <c r="K32" s="630"/>
    </row>
    <row r="33" spans="1:11" s="2" customFormat="1">
      <c r="A33" s="3">
        <v>8</v>
      </c>
      <c r="B33" s="542" t="s">
        <v>554</v>
      </c>
      <c r="C33" s="158" t="s">
        <v>128</v>
      </c>
      <c r="D33" s="620">
        <v>-1.4432899320127035E-15</v>
      </c>
      <c r="E33" s="621">
        <v>0.45131329961449729</v>
      </c>
      <c r="F33" s="621">
        <v>0.75692776321565081</v>
      </c>
      <c r="G33" s="621">
        <v>0.24755320999999986</v>
      </c>
      <c r="H33" s="621"/>
      <c r="I33" s="621"/>
      <c r="J33" s="621"/>
      <c r="K33" s="630"/>
    </row>
    <row r="34" spans="1:11" s="2" customFormat="1">
      <c r="A34" s="3">
        <v>9</v>
      </c>
      <c r="B34" s="542" t="s">
        <v>555</v>
      </c>
      <c r="C34" s="158" t="s">
        <v>128</v>
      </c>
      <c r="D34" s="620">
        <v>0</v>
      </c>
      <c r="E34" s="621">
        <v>0</v>
      </c>
      <c r="F34" s="621">
        <v>0</v>
      </c>
      <c r="G34" s="621">
        <v>-2.86498835</v>
      </c>
      <c r="H34" s="621"/>
      <c r="I34" s="621"/>
      <c r="J34" s="621"/>
      <c r="K34" s="630"/>
    </row>
    <row r="35" spans="1:11" s="2" customFormat="1">
      <c r="A35" s="3">
        <v>10</v>
      </c>
      <c r="B35" s="542" t="s">
        <v>154</v>
      </c>
      <c r="C35" s="158" t="s">
        <v>128</v>
      </c>
      <c r="D35" s="620">
        <v>0.1</v>
      </c>
      <c r="E35" s="621">
        <v>0</v>
      </c>
      <c r="F35" s="621">
        <v>0</v>
      </c>
      <c r="G35" s="621">
        <v>0</v>
      </c>
      <c r="H35" s="621"/>
      <c r="I35" s="621"/>
      <c r="J35" s="621"/>
      <c r="K35" s="630"/>
    </row>
    <row r="36" spans="1:11" s="2" customFormat="1">
      <c r="A36" s="3">
        <v>11</v>
      </c>
      <c r="B36" s="542" t="s">
        <v>243</v>
      </c>
      <c r="C36" s="158" t="s">
        <v>128</v>
      </c>
      <c r="D36" s="620">
        <v>0</v>
      </c>
      <c r="E36" s="621">
        <v>0</v>
      </c>
      <c r="F36" s="621">
        <v>0</v>
      </c>
      <c r="G36" s="621">
        <v>0</v>
      </c>
      <c r="H36" s="621"/>
      <c r="I36" s="621"/>
      <c r="J36" s="621"/>
      <c r="K36" s="630"/>
    </row>
    <row r="37" spans="1:11" s="2" customFormat="1">
      <c r="A37" s="3">
        <v>12</v>
      </c>
      <c r="B37" s="542" t="s">
        <v>243</v>
      </c>
      <c r="C37" s="158" t="s">
        <v>128</v>
      </c>
      <c r="D37" s="620">
        <v>0</v>
      </c>
      <c r="E37" s="621">
        <v>0</v>
      </c>
      <c r="F37" s="621">
        <v>0</v>
      </c>
      <c r="G37" s="621">
        <v>0</v>
      </c>
      <c r="H37" s="621"/>
      <c r="I37" s="621"/>
      <c r="J37" s="621"/>
      <c r="K37" s="630"/>
    </row>
    <row r="38" spans="1:11" s="2" customFormat="1">
      <c r="A38" s="3">
        <v>13</v>
      </c>
      <c r="B38" s="542" t="s">
        <v>243</v>
      </c>
      <c r="C38" s="158" t="s">
        <v>128</v>
      </c>
      <c r="D38" s="620">
        <v>0</v>
      </c>
      <c r="E38" s="621">
        <v>0</v>
      </c>
      <c r="F38" s="621">
        <v>0</v>
      </c>
      <c r="G38" s="621">
        <v>0</v>
      </c>
      <c r="H38" s="621"/>
      <c r="I38" s="621"/>
      <c r="J38" s="621"/>
      <c r="K38" s="630"/>
    </row>
    <row r="39" spans="1:11" s="2" customFormat="1">
      <c r="A39" s="3">
        <v>14</v>
      </c>
      <c r="B39" s="542" t="s">
        <v>243</v>
      </c>
      <c r="C39" s="158" t="s">
        <v>128</v>
      </c>
      <c r="D39" s="620">
        <v>0</v>
      </c>
      <c r="E39" s="621">
        <v>0</v>
      </c>
      <c r="F39" s="621">
        <v>0</v>
      </c>
      <c r="G39" s="621">
        <v>0</v>
      </c>
      <c r="H39" s="621"/>
      <c r="I39" s="621"/>
      <c r="J39" s="621"/>
      <c r="K39" s="630"/>
    </row>
    <row r="40" spans="1:11" s="2" customFormat="1">
      <c r="A40" s="3">
        <v>15</v>
      </c>
      <c r="B40" s="542" t="s">
        <v>243</v>
      </c>
      <c r="C40" s="158" t="s">
        <v>128</v>
      </c>
      <c r="D40" s="620">
        <v>0</v>
      </c>
      <c r="E40" s="621">
        <v>0</v>
      </c>
      <c r="F40" s="621">
        <v>0</v>
      </c>
      <c r="G40" s="621">
        <v>0</v>
      </c>
      <c r="H40" s="621"/>
      <c r="I40" s="621"/>
      <c r="J40" s="621"/>
      <c r="K40" s="630"/>
    </row>
    <row r="41" spans="1:11" s="2" customFormat="1">
      <c r="A41" s="3">
        <v>16</v>
      </c>
      <c r="B41" s="542" t="s">
        <v>243</v>
      </c>
      <c r="C41" s="158" t="s">
        <v>128</v>
      </c>
      <c r="D41" s="620">
        <v>0</v>
      </c>
      <c r="E41" s="621">
        <v>0</v>
      </c>
      <c r="F41" s="621">
        <v>0</v>
      </c>
      <c r="G41" s="621">
        <v>0</v>
      </c>
      <c r="H41" s="621"/>
      <c r="I41" s="621"/>
      <c r="J41" s="621"/>
      <c r="K41" s="630"/>
    </row>
    <row r="42" spans="1:11" s="2" customFormat="1">
      <c r="A42" s="3">
        <v>17</v>
      </c>
      <c r="B42" s="542" t="s">
        <v>243</v>
      </c>
      <c r="C42" s="158" t="s">
        <v>128</v>
      </c>
      <c r="D42" s="620">
        <v>0</v>
      </c>
      <c r="E42" s="621">
        <v>0</v>
      </c>
      <c r="F42" s="621">
        <v>0</v>
      </c>
      <c r="G42" s="621">
        <v>0</v>
      </c>
      <c r="H42" s="621"/>
      <c r="I42" s="621"/>
      <c r="J42" s="621"/>
      <c r="K42" s="630"/>
    </row>
    <row r="43" spans="1:11" s="2" customFormat="1">
      <c r="A43" s="3">
        <v>18</v>
      </c>
      <c r="B43" s="542" t="s">
        <v>243</v>
      </c>
      <c r="C43" s="158" t="s">
        <v>128</v>
      </c>
      <c r="D43" s="620">
        <v>0</v>
      </c>
      <c r="E43" s="621">
        <v>0</v>
      </c>
      <c r="F43" s="621">
        <v>0</v>
      </c>
      <c r="G43" s="621">
        <v>0</v>
      </c>
      <c r="H43" s="621"/>
      <c r="I43" s="621"/>
      <c r="J43" s="621"/>
      <c r="K43" s="630"/>
    </row>
    <row r="44" spans="1:11" s="2" customFormat="1">
      <c r="A44" s="3">
        <v>19</v>
      </c>
      <c r="B44" s="542" t="s">
        <v>243</v>
      </c>
      <c r="C44" s="158" t="s">
        <v>128</v>
      </c>
      <c r="D44" s="620">
        <v>0</v>
      </c>
      <c r="E44" s="621">
        <v>0</v>
      </c>
      <c r="F44" s="621">
        <v>0</v>
      </c>
      <c r="G44" s="621">
        <v>0</v>
      </c>
      <c r="H44" s="621"/>
      <c r="I44" s="621"/>
      <c r="J44" s="621"/>
      <c r="K44" s="630"/>
    </row>
    <row r="45" spans="1:11" s="2" customFormat="1">
      <c r="A45" s="3">
        <v>20</v>
      </c>
      <c r="B45" s="542" t="s">
        <v>243</v>
      </c>
      <c r="C45" s="158" t="s">
        <v>128</v>
      </c>
      <c r="D45" s="620">
        <v>0</v>
      </c>
      <c r="E45" s="621">
        <v>0</v>
      </c>
      <c r="F45" s="621">
        <v>0</v>
      </c>
      <c r="G45" s="621">
        <v>0</v>
      </c>
      <c r="H45" s="621"/>
      <c r="I45" s="621"/>
      <c r="J45" s="621"/>
      <c r="K45" s="630"/>
    </row>
    <row r="46" spans="1:11" s="2" customFormat="1">
      <c r="B46" s="12" t="s">
        <v>396</v>
      </c>
      <c r="C46" s="158" t="s">
        <v>128</v>
      </c>
      <c r="D46" s="634">
        <f>SUM(D26:D45)</f>
        <v>34.137755993115881</v>
      </c>
      <c r="E46" s="635">
        <f t="shared" ref="E46:K46" si="3">SUM(E26:E45)</f>
        <v>48.723607409782289</v>
      </c>
      <c r="F46" s="635">
        <f t="shared" si="3"/>
        <v>31.883141361864439</v>
      </c>
      <c r="G46" s="635">
        <f t="shared" si="3"/>
        <v>25.333753193711299</v>
      </c>
      <c r="H46" s="635">
        <f t="shared" si="3"/>
        <v>0</v>
      </c>
      <c r="I46" s="635">
        <f t="shared" si="3"/>
        <v>0</v>
      </c>
      <c r="J46" s="635">
        <f t="shared" si="3"/>
        <v>0</v>
      </c>
      <c r="K46" s="636">
        <f t="shared" si="3"/>
        <v>0</v>
      </c>
    </row>
    <row r="47" spans="1:11" s="2" customFormat="1">
      <c r="C47" s="142"/>
      <c r="D47" s="54"/>
      <c r="E47" s="53"/>
      <c r="F47" s="53"/>
      <c r="G47" s="53"/>
      <c r="H47" s="53"/>
      <c r="I47" s="53"/>
      <c r="J47" s="53"/>
      <c r="K47" s="53"/>
    </row>
    <row r="48" spans="1:11" s="2" customFormat="1">
      <c r="B48" s="12" t="s">
        <v>442</v>
      </c>
      <c r="C48" s="158" t="s">
        <v>128</v>
      </c>
      <c r="D48" s="634">
        <f>D46+D23</f>
        <v>319.29521405544369</v>
      </c>
      <c r="E48" s="635">
        <f t="shared" ref="E48:K48" si="4">E46+E23</f>
        <v>339.7445280697824</v>
      </c>
      <c r="F48" s="635">
        <f t="shared" si="4"/>
        <v>321.63553062186429</v>
      </c>
      <c r="G48" s="635">
        <f t="shared" si="4"/>
        <v>360.6337531937113</v>
      </c>
      <c r="H48" s="635">
        <f t="shared" si="4"/>
        <v>0</v>
      </c>
      <c r="I48" s="635">
        <f t="shared" si="4"/>
        <v>0</v>
      </c>
      <c r="J48" s="635">
        <f t="shared" si="4"/>
        <v>0</v>
      </c>
      <c r="K48" s="636">
        <f t="shared" si="4"/>
        <v>0</v>
      </c>
    </row>
    <row r="49" spans="1:11" s="2" customFormat="1">
      <c r="B49" s="2" t="s">
        <v>397</v>
      </c>
      <c r="C49" s="158" t="s">
        <v>128</v>
      </c>
      <c r="D49" s="618">
        <v>319.29835309183761</v>
      </c>
      <c r="E49" s="619">
        <v>339.7445280697824</v>
      </c>
      <c r="F49" s="619">
        <v>321.63739169868313</v>
      </c>
      <c r="G49" s="619">
        <v>360.6337531937113</v>
      </c>
      <c r="H49" s="619"/>
      <c r="I49" s="619"/>
      <c r="J49" s="619"/>
      <c r="K49" s="629"/>
    </row>
    <row r="50" spans="1:11" s="2" customFormat="1">
      <c r="C50" s="142" t="s">
        <v>400</v>
      </c>
      <c r="D50" s="664" t="str">
        <f>IF(D$5="Actuals",IF(ABS(D48-D49)&lt;1,"OK","ERROR"),"N/A")</f>
        <v>OK</v>
      </c>
      <c r="E50" s="665" t="str">
        <f t="shared" ref="E50:K50" si="5">IF(E$5="Actuals",IF(ABS(E48-E49)&lt;1,"OK","ERROR"),"N/A")</f>
        <v>OK</v>
      </c>
      <c r="F50" s="665" t="str">
        <f t="shared" si="5"/>
        <v>OK</v>
      </c>
      <c r="G50" s="665" t="str">
        <f t="shared" si="5"/>
        <v>OK</v>
      </c>
      <c r="H50" s="665" t="str">
        <f t="shared" si="5"/>
        <v>N/A</v>
      </c>
      <c r="I50" s="665" t="str">
        <f t="shared" si="5"/>
        <v>N/A</v>
      </c>
      <c r="J50" s="665" t="str">
        <f t="shared" si="5"/>
        <v>N/A</v>
      </c>
      <c r="K50" s="666" t="str">
        <f t="shared" si="5"/>
        <v>N/A</v>
      </c>
    </row>
    <row r="51" spans="1:11" s="2" customFormat="1">
      <c r="B51" s="2" t="s">
        <v>84</v>
      </c>
      <c r="C51" s="142"/>
      <c r="D51" s="55"/>
    </row>
    <row r="52" spans="1:11" s="2" customFormat="1">
      <c r="B52" s="12" t="s">
        <v>398</v>
      </c>
      <c r="C52" s="158"/>
      <c r="D52" s="55"/>
    </row>
    <row r="53" spans="1:11" s="2" customFormat="1">
      <c r="A53" s="3">
        <v>1</v>
      </c>
      <c r="B53" s="541" t="s">
        <v>556</v>
      </c>
      <c r="C53" s="158" t="s">
        <v>128</v>
      </c>
      <c r="D53" s="618">
        <v>68.560555509434437</v>
      </c>
      <c r="E53" s="619">
        <v>71.343272718838861</v>
      </c>
      <c r="F53" s="619">
        <v>63.605079118283989</v>
      </c>
      <c r="G53" s="619">
        <v>65.83908766405159</v>
      </c>
      <c r="H53" s="619"/>
      <c r="I53" s="619"/>
      <c r="J53" s="619"/>
      <c r="K53" s="629"/>
    </row>
    <row r="54" spans="1:11" s="2" customFormat="1">
      <c r="A54" s="3">
        <v>2</v>
      </c>
      <c r="B54" s="541" t="s">
        <v>557</v>
      </c>
      <c r="C54" s="158" t="s">
        <v>128</v>
      </c>
      <c r="D54" s="620">
        <v>26.247193660000001</v>
      </c>
      <c r="E54" s="621">
        <v>27.271970059704106</v>
      </c>
      <c r="F54" s="621">
        <v>22.242841974874175</v>
      </c>
      <c r="G54" s="621">
        <v>25.14352862497427</v>
      </c>
      <c r="H54" s="621"/>
      <c r="I54" s="621"/>
      <c r="J54" s="621"/>
      <c r="K54" s="630"/>
    </row>
    <row r="55" spans="1:11" s="2" customFormat="1">
      <c r="A55" s="3">
        <v>3</v>
      </c>
      <c r="B55" s="541" t="s">
        <v>558</v>
      </c>
      <c r="C55" s="158" t="s">
        <v>128</v>
      </c>
      <c r="D55" s="620">
        <v>19.277884390901413</v>
      </c>
      <c r="E55" s="621">
        <v>17.537122043015753</v>
      </c>
      <c r="F55" s="621">
        <v>1.3677701404076199</v>
      </c>
      <c r="G55" s="621">
        <v>10.209268919999973</v>
      </c>
      <c r="H55" s="621"/>
      <c r="I55" s="621"/>
      <c r="J55" s="621"/>
      <c r="K55" s="630"/>
    </row>
    <row r="56" spans="1:11" s="2" customFormat="1">
      <c r="A56" s="3">
        <v>4</v>
      </c>
      <c r="B56" s="541" t="s">
        <v>559</v>
      </c>
      <c r="C56" s="158" t="s">
        <v>128</v>
      </c>
      <c r="D56" s="620">
        <v>7.4095865390339739</v>
      </c>
      <c r="E56" s="621">
        <v>7.9328455351655318</v>
      </c>
      <c r="F56" s="621">
        <v>6.6774568303974444</v>
      </c>
      <c r="G56" s="621">
        <v>1.14842796</v>
      </c>
      <c r="H56" s="621"/>
      <c r="I56" s="621"/>
      <c r="J56" s="621"/>
      <c r="K56" s="630"/>
    </row>
    <row r="57" spans="1:11" s="2" customFormat="1">
      <c r="A57" s="3">
        <v>5</v>
      </c>
      <c r="B57" s="541" t="s">
        <v>560</v>
      </c>
      <c r="C57" s="158" t="s">
        <v>128</v>
      </c>
      <c r="D57" s="620">
        <v>3.5863360350865836</v>
      </c>
      <c r="E57" s="621">
        <v>2.1804868840714704</v>
      </c>
      <c r="F57" s="621">
        <v>2.1357457854351294</v>
      </c>
      <c r="G57" s="621">
        <v>2.1260567844522504</v>
      </c>
      <c r="H57" s="621"/>
      <c r="I57" s="621"/>
      <c r="J57" s="621"/>
      <c r="K57" s="630"/>
    </row>
    <row r="58" spans="1:11" s="2" customFormat="1">
      <c r="A58" s="3">
        <v>6</v>
      </c>
      <c r="B58" s="541" t="s">
        <v>561</v>
      </c>
      <c r="C58" s="158" t="s">
        <v>128</v>
      </c>
      <c r="D58" s="620">
        <v>0.25398512000000001</v>
      </c>
      <c r="E58" s="621">
        <v>0.17094779000000002</v>
      </c>
      <c r="F58" s="621">
        <v>0.31744863999999995</v>
      </c>
      <c r="G58" s="621">
        <v>0.21099999999999999</v>
      </c>
      <c r="H58" s="621"/>
      <c r="I58" s="621"/>
      <c r="J58" s="621"/>
      <c r="K58" s="630"/>
    </row>
    <row r="59" spans="1:11" s="2" customFormat="1">
      <c r="A59" s="3">
        <v>7</v>
      </c>
      <c r="B59" s="541" t="s">
        <v>562</v>
      </c>
      <c r="C59" s="158" t="s">
        <v>128</v>
      </c>
      <c r="D59" s="620">
        <v>0.79262246999999997</v>
      </c>
      <c r="E59" s="621">
        <v>0.77397466000000004</v>
      </c>
      <c r="F59" s="621">
        <v>0.81149777999999995</v>
      </c>
      <c r="G59" s="621">
        <v>0.77443012</v>
      </c>
      <c r="H59" s="621"/>
      <c r="I59" s="621"/>
      <c r="J59" s="621"/>
      <c r="K59" s="630"/>
    </row>
    <row r="60" spans="1:11" s="2" customFormat="1">
      <c r="A60" s="3">
        <v>8</v>
      </c>
      <c r="B60" s="541" t="s">
        <v>243</v>
      </c>
      <c r="C60" s="158" t="s">
        <v>128</v>
      </c>
      <c r="D60" s="620">
        <v>0</v>
      </c>
      <c r="E60" s="621">
        <v>0</v>
      </c>
      <c r="F60" s="621">
        <v>0</v>
      </c>
      <c r="G60" s="621">
        <v>0</v>
      </c>
      <c r="H60" s="621"/>
      <c r="I60" s="621"/>
      <c r="J60" s="621"/>
      <c r="K60" s="630"/>
    </row>
    <row r="61" spans="1:11" s="2" customFormat="1">
      <c r="A61" s="3">
        <v>9</v>
      </c>
      <c r="B61" s="541" t="s">
        <v>243</v>
      </c>
      <c r="C61" s="158" t="s">
        <v>128</v>
      </c>
      <c r="D61" s="620">
        <v>0</v>
      </c>
      <c r="E61" s="621">
        <v>0</v>
      </c>
      <c r="F61" s="621">
        <v>0</v>
      </c>
      <c r="G61" s="621">
        <v>0</v>
      </c>
      <c r="H61" s="621"/>
      <c r="I61" s="621"/>
      <c r="J61" s="621"/>
      <c r="K61" s="630"/>
    </row>
    <row r="62" spans="1:11" s="2" customFormat="1">
      <c r="A62" s="3">
        <v>10</v>
      </c>
      <c r="B62" s="541" t="s">
        <v>243</v>
      </c>
      <c r="C62" s="158" t="s">
        <v>128</v>
      </c>
      <c r="D62" s="620">
        <v>0</v>
      </c>
      <c r="E62" s="621">
        <v>0</v>
      </c>
      <c r="F62" s="621">
        <v>0</v>
      </c>
      <c r="G62" s="621">
        <v>0</v>
      </c>
      <c r="H62" s="621"/>
      <c r="I62" s="621"/>
      <c r="J62" s="621"/>
      <c r="K62" s="630"/>
    </row>
    <row r="63" spans="1:11" s="2" customFormat="1">
      <c r="A63" s="3">
        <v>11</v>
      </c>
      <c r="B63" s="541" t="s">
        <v>243</v>
      </c>
      <c r="C63" s="158" t="s">
        <v>128</v>
      </c>
      <c r="D63" s="620">
        <v>0</v>
      </c>
      <c r="E63" s="621">
        <v>0</v>
      </c>
      <c r="F63" s="621">
        <v>0</v>
      </c>
      <c r="G63" s="621">
        <v>0</v>
      </c>
      <c r="H63" s="621"/>
      <c r="I63" s="621"/>
      <c r="J63" s="621"/>
      <c r="K63" s="630"/>
    </row>
    <row r="64" spans="1:11" s="2" customFormat="1">
      <c r="A64" s="3">
        <v>12</v>
      </c>
      <c r="B64" s="541" t="s">
        <v>243</v>
      </c>
      <c r="C64" s="158" t="s">
        <v>128</v>
      </c>
      <c r="D64" s="620">
        <v>0</v>
      </c>
      <c r="E64" s="621">
        <v>0</v>
      </c>
      <c r="F64" s="621">
        <v>0</v>
      </c>
      <c r="G64" s="621">
        <v>0</v>
      </c>
      <c r="H64" s="621"/>
      <c r="I64" s="621"/>
      <c r="J64" s="621"/>
      <c r="K64" s="630"/>
    </row>
    <row r="65" spans="1:11" s="2" customFormat="1">
      <c r="A65" s="3">
        <v>13</v>
      </c>
      <c r="B65" s="541" t="s">
        <v>243</v>
      </c>
      <c r="C65" s="158" t="s">
        <v>128</v>
      </c>
      <c r="D65" s="620">
        <v>0</v>
      </c>
      <c r="E65" s="621">
        <v>0</v>
      </c>
      <c r="F65" s="621">
        <v>0</v>
      </c>
      <c r="G65" s="621">
        <v>0</v>
      </c>
      <c r="H65" s="621"/>
      <c r="I65" s="621"/>
      <c r="J65" s="621"/>
      <c r="K65" s="630"/>
    </row>
    <row r="66" spans="1:11" s="2" customFormat="1">
      <c r="A66" s="3">
        <v>14</v>
      </c>
      <c r="B66" s="541" t="s">
        <v>243</v>
      </c>
      <c r="C66" s="158" t="s">
        <v>128</v>
      </c>
      <c r="D66" s="620">
        <v>0</v>
      </c>
      <c r="E66" s="621">
        <v>0</v>
      </c>
      <c r="F66" s="621">
        <v>0</v>
      </c>
      <c r="G66" s="621">
        <v>0</v>
      </c>
      <c r="H66" s="621"/>
      <c r="I66" s="621"/>
      <c r="J66" s="621"/>
      <c r="K66" s="630"/>
    </row>
    <row r="67" spans="1:11" s="2" customFormat="1">
      <c r="A67" s="3">
        <v>15</v>
      </c>
      <c r="B67" s="541" t="s">
        <v>243</v>
      </c>
      <c r="C67" s="158" t="s">
        <v>128</v>
      </c>
      <c r="D67" s="620">
        <v>0</v>
      </c>
      <c r="E67" s="621">
        <v>0</v>
      </c>
      <c r="F67" s="621">
        <v>0</v>
      </c>
      <c r="G67" s="621">
        <v>0</v>
      </c>
      <c r="H67" s="621"/>
      <c r="I67" s="621"/>
      <c r="J67" s="621"/>
      <c r="K67" s="630"/>
    </row>
    <row r="68" spans="1:11" s="2" customFormat="1">
      <c r="A68" s="3">
        <v>16</v>
      </c>
      <c r="B68" s="541" t="s">
        <v>243</v>
      </c>
      <c r="C68" s="158" t="s">
        <v>128</v>
      </c>
      <c r="D68" s="620">
        <v>0</v>
      </c>
      <c r="E68" s="621">
        <v>0</v>
      </c>
      <c r="F68" s="621">
        <v>0</v>
      </c>
      <c r="G68" s="621">
        <v>0</v>
      </c>
      <c r="H68" s="621"/>
      <c r="I68" s="621"/>
      <c r="J68" s="621"/>
      <c r="K68" s="630"/>
    </row>
    <row r="69" spans="1:11" s="2" customFormat="1">
      <c r="A69" s="3">
        <v>17</v>
      </c>
      <c r="B69" s="541" t="s">
        <v>243</v>
      </c>
      <c r="C69" s="158" t="s">
        <v>128</v>
      </c>
      <c r="D69" s="620">
        <v>0</v>
      </c>
      <c r="E69" s="621">
        <v>0</v>
      </c>
      <c r="F69" s="621">
        <v>0</v>
      </c>
      <c r="G69" s="621">
        <v>0</v>
      </c>
      <c r="H69" s="621"/>
      <c r="I69" s="621"/>
      <c r="J69" s="621"/>
      <c r="K69" s="630"/>
    </row>
    <row r="70" spans="1:11" s="2" customFormat="1">
      <c r="A70" s="3">
        <v>18</v>
      </c>
      <c r="B70" s="541" t="s">
        <v>243</v>
      </c>
      <c r="C70" s="158" t="s">
        <v>128</v>
      </c>
      <c r="D70" s="620">
        <v>0</v>
      </c>
      <c r="E70" s="621">
        <v>0</v>
      </c>
      <c r="F70" s="621">
        <v>0</v>
      </c>
      <c r="G70" s="621">
        <v>0</v>
      </c>
      <c r="H70" s="621"/>
      <c r="I70" s="621"/>
      <c r="J70" s="621"/>
      <c r="K70" s="630"/>
    </row>
    <row r="71" spans="1:11" s="2" customFormat="1">
      <c r="A71" s="3">
        <v>19</v>
      </c>
      <c r="B71" s="541" t="s">
        <v>243</v>
      </c>
      <c r="C71" s="158" t="s">
        <v>128</v>
      </c>
      <c r="D71" s="620">
        <v>0</v>
      </c>
      <c r="E71" s="621">
        <v>0</v>
      </c>
      <c r="F71" s="621">
        <v>0</v>
      </c>
      <c r="G71" s="621">
        <v>0</v>
      </c>
      <c r="H71" s="621"/>
      <c r="I71" s="621"/>
      <c r="J71" s="621"/>
      <c r="K71" s="630"/>
    </row>
    <row r="72" spans="1:11" s="2" customFormat="1">
      <c r="A72" s="3">
        <v>20</v>
      </c>
      <c r="B72" s="541" t="s">
        <v>243</v>
      </c>
      <c r="C72" s="158" t="s">
        <v>128</v>
      </c>
      <c r="D72" s="620">
        <v>0</v>
      </c>
      <c r="E72" s="621">
        <v>0</v>
      </c>
      <c r="F72" s="621">
        <v>0</v>
      </c>
      <c r="G72" s="621">
        <v>0</v>
      </c>
      <c r="H72" s="621"/>
      <c r="I72" s="621"/>
      <c r="J72" s="621"/>
      <c r="K72" s="630"/>
    </row>
    <row r="73" spans="1:11" s="2" customFormat="1">
      <c r="A73" s="3">
        <v>21</v>
      </c>
      <c r="B73" s="541" t="s">
        <v>243</v>
      </c>
      <c r="C73" s="158" t="s">
        <v>128</v>
      </c>
      <c r="D73" s="620">
        <v>0</v>
      </c>
      <c r="E73" s="621">
        <v>0</v>
      </c>
      <c r="F73" s="621">
        <v>0</v>
      </c>
      <c r="G73" s="621">
        <v>0</v>
      </c>
      <c r="H73" s="621"/>
      <c r="I73" s="621"/>
      <c r="J73" s="621"/>
      <c r="K73" s="630"/>
    </row>
    <row r="74" spans="1:11" s="2" customFormat="1">
      <c r="A74" s="3">
        <v>22</v>
      </c>
      <c r="B74" s="541" t="s">
        <v>243</v>
      </c>
      <c r="C74" s="158" t="s">
        <v>128</v>
      </c>
      <c r="D74" s="620">
        <v>0</v>
      </c>
      <c r="E74" s="621">
        <v>0</v>
      </c>
      <c r="F74" s="621">
        <v>0</v>
      </c>
      <c r="G74" s="621">
        <v>0</v>
      </c>
      <c r="H74" s="621"/>
      <c r="I74" s="621"/>
      <c r="J74" s="621"/>
      <c r="K74" s="630"/>
    </row>
    <row r="75" spans="1:11" s="2" customFormat="1">
      <c r="A75" s="3">
        <v>23</v>
      </c>
      <c r="B75" s="541" t="s">
        <v>243</v>
      </c>
      <c r="C75" s="158" t="s">
        <v>128</v>
      </c>
      <c r="D75" s="620">
        <v>0</v>
      </c>
      <c r="E75" s="621">
        <v>0</v>
      </c>
      <c r="F75" s="621">
        <v>0</v>
      </c>
      <c r="G75" s="621">
        <v>0</v>
      </c>
      <c r="H75" s="621"/>
      <c r="I75" s="621"/>
      <c r="J75" s="621"/>
      <c r="K75" s="630"/>
    </row>
    <row r="76" spans="1:11" s="2" customFormat="1">
      <c r="A76" s="3">
        <v>24</v>
      </c>
      <c r="B76" s="541" t="s">
        <v>243</v>
      </c>
      <c r="C76" s="158" t="s">
        <v>128</v>
      </c>
      <c r="D76" s="620">
        <v>0</v>
      </c>
      <c r="E76" s="621">
        <v>0</v>
      </c>
      <c r="F76" s="621">
        <v>0</v>
      </c>
      <c r="G76" s="621">
        <v>0</v>
      </c>
      <c r="H76" s="621"/>
      <c r="I76" s="621"/>
      <c r="J76" s="621"/>
      <c r="K76" s="630"/>
    </row>
    <row r="77" spans="1:11" s="2" customFormat="1">
      <c r="A77" s="3">
        <v>25</v>
      </c>
      <c r="B77" s="541" t="s">
        <v>154</v>
      </c>
      <c r="C77" s="158" t="s">
        <v>128</v>
      </c>
      <c r="D77" s="655">
        <v>0.2</v>
      </c>
      <c r="E77" s="656">
        <v>0</v>
      </c>
      <c r="F77" s="656">
        <v>0</v>
      </c>
      <c r="G77" s="656">
        <v>0.1</v>
      </c>
      <c r="H77" s="656"/>
      <c r="I77" s="656"/>
      <c r="J77" s="656"/>
      <c r="K77" s="657"/>
    </row>
    <row r="78" spans="1:11" s="2" customFormat="1">
      <c r="B78" s="12" t="s">
        <v>171</v>
      </c>
      <c r="C78" s="158" t="s">
        <v>128</v>
      </c>
      <c r="D78" s="634">
        <f>SUM(D53:D77)</f>
        <v>126.3281637244564</v>
      </c>
      <c r="E78" s="635">
        <f t="shared" ref="E78:K78" si="6">SUM(E53:E77)</f>
        <v>127.21061969079571</v>
      </c>
      <c r="F78" s="635">
        <f t="shared" si="6"/>
        <v>97.157840269398349</v>
      </c>
      <c r="G78" s="635">
        <f t="shared" si="6"/>
        <v>105.55180007347808</v>
      </c>
      <c r="H78" s="635">
        <f t="shared" si="6"/>
        <v>0</v>
      </c>
      <c r="I78" s="635">
        <f t="shared" si="6"/>
        <v>0</v>
      </c>
      <c r="J78" s="635">
        <f t="shared" si="6"/>
        <v>0</v>
      </c>
      <c r="K78" s="636">
        <f t="shared" si="6"/>
        <v>0</v>
      </c>
    </row>
    <row r="79" spans="1:11" s="2" customFormat="1">
      <c r="C79" s="142"/>
      <c r="D79" s="54"/>
      <c r="E79" s="53"/>
      <c r="F79" s="53"/>
      <c r="G79" s="53"/>
      <c r="H79" s="53"/>
      <c r="I79" s="53"/>
      <c r="J79" s="53"/>
      <c r="K79" s="53"/>
    </row>
    <row r="80" spans="1:11" s="2" customFormat="1">
      <c r="B80" s="12" t="s">
        <v>399</v>
      </c>
      <c r="C80" s="158" t="s">
        <v>128</v>
      </c>
      <c r="D80" s="634">
        <f>D48-D78</f>
        <v>192.96705033098729</v>
      </c>
      <c r="E80" s="635">
        <f t="shared" ref="E80:K80" si="7">E48-E78</f>
        <v>212.53390837898669</v>
      </c>
      <c r="F80" s="635">
        <f t="shared" si="7"/>
        <v>224.47769035246594</v>
      </c>
      <c r="G80" s="635">
        <f t="shared" si="7"/>
        <v>255.08195312023321</v>
      </c>
      <c r="H80" s="635">
        <f t="shared" si="7"/>
        <v>0</v>
      </c>
      <c r="I80" s="635">
        <f t="shared" si="7"/>
        <v>0</v>
      </c>
      <c r="J80" s="635">
        <f t="shared" si="7"/>
        <v>0</v>
      </c>
      <c r="K80" s="636">
        <f t="shared" si="7"/>
        <v>0</v>
      </c>
    </row>
    <row r="81" spans="2:11" s="2" customFormat="1">
      <c r="B81" s="12" t="s">
        <v>487</v>
      </c>
      <c r="C81" s="158" t="s">
        <v>128</v>
      </c>
      <c r="D81" s="667">
        <f>'R4 - Totex'!D90+'R4 - Totex'!D118</f>
        <v>192.97072315738123</v>
      </c>
      <c r="E81" s="668">
        <f>'R4 - Totex'!E90+'R4 - Totex'!E118</f>
        <v>212.53390837898672</v>
      </c>
      <c r="F81" s="668">
        <f>'R4 - Totex'!F90+'R4 - Totex'!F118</f>
        <v>224.48655142928473</v>
      </c>
      <c r="G81" s="668">
        <f>'R4 - Totex'!G90+'R4 - Totex'!G118</f>
        <v>255.12895312023318</v>
      </c>
      <c r="H81" s="668">
        <f>'R4 - Totex'!H90+'R4 - Totex'!H118</f>
        <v>243.45942388221155</v>
      </c>
      <c r="I81" s="668">
        <f>'R4 - Totex'!I90+'R4 - Totex'!I118</f>
        <v>237.98509481386603</v>
      </c>
      <c r="J81" s="668">
        <f>'R4 - Totex'!J90+'R4 - Totex'!J118</f>
        <v>215.56481864061354</v>
      </c>
      <c r="K81" s="668">
        <f>'R4 - Totex'!K90+'R4 - Totex'!K118</f>
        <v>216.03209891523124</v>
      </c>
    </row>
    <row r="82" spans="2:11" s="2" customFormat="1">
      <c r="C82" s="142" t="s">
        <v>400</v>
      </c>
      <c r="D82" s="596" t="str">
        <f>IF(D$5="Actuals",IF(ABS(D80-('R4 - Totex'!D90+'R4 - Totex'!D118))&lt;'RFPR cover'!$F$14,"OK","Error"),"N/A")</f>
        <v>OK</v>
      </c>
      <c r="E82" s="596" t="str">
        <f>IF(E$5="Actuals",IF(ABS(E80-('R4 - Totex'!E90+'R4 - Totex'!E118))&lt;'RFPR cover'!$F$14,"OK","Error"),"N/A")</f>
        <v>OK</v>
      </c>
      <c r="F82" s="596" t="str">
        <f>IF(F$5="Actuals",IF(ABS(F80-('R4 - Totex'!F90+'R4 - Totex'!F118))&lt;'RFPR cover'!$F$14,"OK","Error"),"N/A")</f>
        <v>OK</v>
      </c>
      <c r="G82" s="596" t="str">
        <f>IF(G$5="Actuals",IF(ABS(G80-('R4 - Totex'!G90+'R4 - Totex'!G118))&lt;'RFPR cover'!$F$14,"OK","Error"),"N/A")</f>
        <v>OK</v>
      </c>
      <c r="H82" s="596" t="str">
        <f>IF(H$5="Actuals",IF(ABS(H80-('R4 - Totex'!H90+'R4 - Totex'!H118))&lt;'RFPR cover'!$F$14,"OK","Error"),"N/A")</f>
        <v>N/A</v>
      </c>
      <c r="I82" s="596" t="str">
        <f>IF(I$5="Actuals",IF(ABS(I80-('R4 - Totex'!I90+'R4 - Totex'!I118))&lt;'RFPR cover'!$F$14,"OK","Error"),"N/A")</f>
        <v>N/A</v>
      </c>
      <c r="J82" s="596" t="str">
        <f>IF(J$5="Actuals",IF(ABS(J80-('R4 - Totex'!J90+'R4 - Totex'!J118))&lt;'RFPR cover'!$F$14,"OK","Error"),"N/A")</f>
        <v>N/A</v>
      </c>
      <c r="K82" s="596" t="str">
        <f>IF(K$5="Actuals",IF(ABS(K80-('R4 - Totex'!K90+'R4 - Totex'!K118))&lt;'RFPR cover'!$F$14,"OK","Error"),"N/A")</f>
        <v>N/A</v>
      </c>
    </row>
    <row r="83" spans="2:11" s="2" customFormat="1">
      <c r="C83" s="142"/>
    </row>
    <row r="84" spans="2:11">
      <c r="D84" s="222"/>
      <c r="E84" s="222"/>
      <c r="F84" s="222"/>
      <c r="G84" s="222"/>
      <c r="H84" s="222"/>
      <c r="I84" s="222"/>
      <c r="J84" s="222"/>
      <c r="K84" s="222"/>
    </row>
    <row r="85" spans="2:11">
      <c r="D85" s="222"/>
      <c r="E85" s="222"/>
      <c r="F85" s="222"/>
      <c r="G85" s="222"/>
      <c r="H85" s="222"/>
      <c r="I85" s="222"/>
      <c r="J85" s="222"/>
      <c r="K85" s="222"/>
    </row>
    <row r="86" spans="2:11">
      <c r="D86" s="222"/>
      <c r="E86" s="222"/>
      <c r="F86" s="222"/>
      <c r="G86" s="222"/>
      <c r="H86" s="222"/>
      <c r="I86" s="222"/>
      <c r="J86" s="222"/>
      <c r="K86" s="222"/>
    </row>
  </sheetData>
  <conditionalFormatting sqref="D6:J6">
    <cfRule type="expression" dxfId="46" priority="45">
      <formula>AND(D$5="Actuals",E$5="N/A")</formula>
    </cfRule>
  </conditionalFormatting>
  <conditionalFormatting sqref="D5:K5">
    <cfRule type="expression" dxfId="45" priority="36">
      <formula>AND(D$5="Actuals",E$5="N/A")</formula>
    </cfRule>
  </conditionalFormatting>
  <conditionalFormatting sqref="D9:K14 D26:K46 D48:K50 D53:K78 D80:K80 D82:K82 D18:K19 D23:K23">
    <cfRule type="expression" dxfId="44" priority="31">
      <formula>D$5="N/A"</formula>
    </cfRule>
  </conditionalFormatting>
  <conditionalFormatting sqref="D15:K17">
    <cfRule type="expression" dxfId="43" priority="30">
      <formula>D$5="N/A"</formula>
    </cfRule>
  </conditionalFormatting>
  <conditionalFormatting sqref="D20:K22">
    <cfRule type="expression" dxfId="42" priority="29">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P154"/>
  <sheetViews>
    <sheetView showGridLines="0" zoomScale="80" zoomScaleNormal="80" workbookViewId="0">
      <pane ySplit="6" topLeftCell="A7" activePane="bottomLeft" state="frozen"/>
      <selection activeCell="B75" sqref="A1:XFD1048576"/>
      <selection pane="bottomLeft" activeCell="A7" sqref="A7"/>
    </sheetView>
  </sheetViews>
  <sheetFormatPr defaultColWidth="9.125" defaultRowHeight="12.75"/>
  <cols>
    <col min="1" max="1" width="8.375" style="2" customWidth="1"/>
    <col min="2" max="2" width="75.5" style="132" customWidth="1"/>
    <col min="3" max="3" width="13.375" style="142" customWidth="1"/>
    <col min="4" max="11" width="11.125" style="2" customWidth="1"/>
    <col min="12" max="13" width="12.875" style="2" customWidth="1"/>
    <col min="14" max="14" width="25.5" style="2" customWidth="1"/>
    <col min="15" max="16384" width="9.125" style="2"/>
  </cols>
  <sheetData>
    <row r="1" spans="1:16" s="32" customFormat="1" ht="20.25">
      <c r="A1" s="378" t="s">
        <v>99</v>
      </c>
      <c r="B1" s="409"/>
      <c r="C1" s="288"/>
      <c r="D1" s="265"/>
      <c r="E1" s="265"/>
      <c r="F1" s="265"/>
      <c r="G1" s="265"/>
      <c r="H1" s="265"/>
      <c r="I1" s="266"/>
      <c r="J1" s="266"/>
      <c r="K1" s="267"/>
      <c r="L1" s="267"/>
      <c r="M1" s="267"/>
      <c r="N1" s="267"/>
      <c r="O1" s="379"/>
    </row>
    <row r="2" spans="1:16" s="32" customFormat="1" ht="20.25">
      <c r="A2" s="124" t="str">
        <f>'RFPR cover'!C5</f>
        <v>SPD</v>
      </c>
      <c r="B2" s="410"/>
      <c r="C2" s="140"/>
      <c r="D2" s="30"/>
      <c r="E2" s="30"/>
      <c r="F2" s="30"/>
      <c r="G2" s="30"/>
      <c r="H2" s="30"/>
      <c r="I2" s="27"/>
      <c r="J2" s="27"/>
      <c r="K2" s="27"/>
      <c r="L2" s="27"/>
      <c r="M2" s="27"/>
      <c r="N2" s="27"/>
      <c r="O2" s="125"/>
    </row>
    <row r="3" spans="1:16" s="32" customFormat="1" ht="20.25">
      <c r="A3" s="269">
        <f>'RFPR cover'!C7</f>
        <v>2019</v>
      </c>
      <c r="B3" s="411"/>
      <c r="C3" s="287"/>
      <c r="D3" s="270"/>
      <c r="E3" s="270"/>
      <c r="F3" s="270"/>
      <c r="G3" s="270"/>
      <c r="H3" s="270"/>
      <c r="I3" s="263"/>
      <c r="J3" s="263"/>
      <c r="K3" s="263"/>
      <c r="L3" s="263"/>
      <c r="M3" s="263"/>
      <c r="N3" s="263"/>
      <c r="O3" s="271"/>
    </row>
    <row r="4" spans="1:16" ht="12.75" customHeight="1"/>
    <row r="5" spans="1:16" ht="12.75" customHeight="1">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row>
    <row r="6" spans="1:16" ht="27.75" customHeight="1">
      <c r="B6" s="804"/>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2019</v>
      </c>
      <c r="M6" s="119" t="s">
        <v>109</v>
      </c>
      <c r="N6" s="119" t="s">
        <v>312</v>
      </c>
    </row>
    <row r="7" spans="1:16" s="36" customFormat="1">
      <c r="B7" s="805"/>
      <c r="C7" s="164"/>
      <c r="D7" s="58"/>
      <c r="E7" s="58"/>
      <c r="F7" s="58"/>
      <c r="G7" s="58"/>
      <c r="H7" s="58"/>
      <c r="I7" s="58"/>
      <c r="J7" s="58"/>
      <c r="K7" s="58"/>
      <c r="L7" s="58"/>
      <c r="M7" s="58"/>
      <c r="N7" s="58"/>
    </row>
    <row r="8" spans="1:16" s="36" customFormat="1">
      <c r="B8" s="806" t="s">
        <v>387</v>
      </c>
      <c r="C8" s="302"/>
      <c r="D8" s="336"/>
      <c r="E8" s="336"/>
      <c r="F8" s="336"/>
      <c r="G8" s="336"/>
      <c r="H8" s="336"/>
      <c r="I8" s="336"/>
      <c r="J8" s="336"/>
      <c r="K8" s="336"/>
      <c r="L8" s="336"/>
      <c r="M8" s="336"/>
      <c r="N8" s="336"/>
    </row>
    <row r="9" spans="1:16" s="36" customFormat="1">
      <c r="B9" s="805"/>
      <c r="C9" s="164"/>
      <c r="D9" s="58"/>
      <c r="E9" s="58"/>
      <c r="F9" s="58"/>
      <c r="G9" s="58"/>
      <c r="H9" s="58"/>
      <c r="I9" s="58"/>
      <c r="J9" s="58"/>
      <c r="K9" s="58"/>
      <c r="L9" s="58"/>
      <c r="M9" s="58"/>
      <c r="N9" s="58"/>
    </row>
    <row r="10" spans="1:16">
      <c r="A10" s="36"/>
      <c r="B10" s="807" t="str">
        <f>Data!B48</f>
        <v>Totex</v>
      </c>
      <c r="C10" s="156"/>
      <c r="D10" s="81"/>
      <c r="E10" s="81"/>
      <c r="F10" s="81"/>
      <c r="G10" s="81"/>
      <c r="H10" s="81"/>
      <c r="I10" s="81"/>
      <c r="J10" s="81"/>
      <c r="K10" s="81"/>
      <c r="L10" s="81"/>
      <c r="M10" s="81"/>
      <c r="N10" s="81"/>
    </row>
    <row r="11" spans="1:16" s="36" customFormat="1">
      <c r="B11" s="808"/>
      <c r="C11" s="144"/>
      <c r="D11" s="335"/>
      <c r="E11" s="335"/>
      <c r="F11" s="335"/>
      <c r="G11" s="335"/>
      <c r="H11" s="335"/>
      <c r="I11" s="335"/>
      <c r="J11" s="335"/>
      <c r="K11" s="335"/>
      <c r="L11" s="335"/>
      <c r="M11" s="335"/>
      <c r="N11" s="335"/>
    </row>
    <row r="12" spans="1:16">
      <c r="A12" s="36"/>
      <c r="B12" s="320" t="s">
        <v>34</v>
      </c>
      <c r="C12" s="161" t="str">
        <f>'RFPR cover'!$C$14</f>
        <v>£m 12/13</v>
      </c>
      <c r="D12" s="504">
        <v>181.99346917520998</v>
      </c>
      <c r="E12" s="505">
        <v>196.23888280638121</v>
      </c>
      <c r="F12" s="505">
        <v>199.79864889694096</v>
      </c>
      <c r="G12" s="505">
        <v>220.33855946423347</v>
      </c>
      <c r="H12" s="505">
        <v>204.88217628485168</v>
      </c>
      <c r="I12" s="505">
        <v>194.86770073839082</v>
      </c>
      <c r="J12" s="505">
        <v>171.32682356587171</v>
      </c>
      <c r="K12" s="505">
        <v>166.5759971408568</v>
      </c>
      <c r="L12" s="107">
        <f>SUM(D12:INDEX(D12:K12,0,MATCH('RFPR cover'!$C$7,$D$6:$K$6,0)))</f>
        <v>798.36956034276568</v>
      </c>
      <c r="M12" s="108">
        <f>SUM(D12:K12)</f>
        <v>1536.0222580727368</v>
      </c>
      <c r="N12" s="63"/>
      <c r="O12" s="63"/>
    </row>
    <row r="13" spans="1:16" ht="25.5">
      <c r="A13" s="36"/>
      <c r="B13" s="809" t="s">
        <v>499</v>
      </c>
      <c r="C13" s="161" t="str">
        <f>'RFPR cover'!$C$14</f>
        <v>£m 12/13</v>
      </c>
      <c r="D13" s="506">
        <v>205.07950586366874</v>
      </c>
      <c r="E13" s="507">
        <v>203.90254948286511</v>
      </c>
      <c r="F13" s="507">
        <v>208.61977633175462</v>
      </c>
      <c r="G13" s="507">
        <v>198.17251090858795</v>
      </c>
      <c r="H13" s="507">
        <v>194.01060320119714</v>
      </c>
      <c r="I13" s="507">
        <v>183.54887720608392</v>
      </c>
      <c r="J13" s="507">
        <v>173.96290070254926</v>
      </c>
      <c r="K13" s="507">
        <v>168.70303874994335</v>
      </c>
      <c r="L13" s="105">
        <f>SUM(D13:INDEX(D13:K13,0,MATCH('RFPR cover'!$C$7,$D$6:$K$6,0)))</f>
        <v>815.7743425868764</v>
      </c>
      <c r="M13" s="106">
        <f>SUM(D13:K13)</f>
        <v>1535.9997624466498</v>
      </c>
      <c r="N13" s="63"/>
      <c r="O13" s="63"/>
    </row>
    <row r="14" spans="1:16">
      <c r="A14" s="36"/>
      <c r="B14" s="810" t="s">
        <v>195</v>
      </c>
      <c r="C14" s="161" t="str">
        <f>'RFPR cover'!$C$14</f>
        <v>£m 12/13</v>
      </c>
      <c r="D14" s="102">
        <f>D13-D12</f>
        <v>23.086036688458762</v>
      </c>
      <c r="E14" s="103">
        <f t="shared" ref="E14:M14" si="1">E13-E12</f>
        <v>7.6636666764838992</v>
      </c>
      <c r="F14" s="103">
        <f t="shared" si="1"/>
        <v>8.8211274348136612</v>
      </c>
      <c r="G14" s="103">
        <f t="shared" si="1"/>
        <v>-22.166048555645517</v>
      </c>
      <c r="H14" s="103">
        <f t="shared" si="1"/>
        <v>-10.871573083654539</v>
      </c>
      <c r="I14" s="103">
        <f t="shared" si="1"/>
        <v>-11.318823532306908</v>
      </c>
      <c r="J14" s="103">
        <f t="shared" si="1"/>
        <v>2.6360771366775566</v>
      </c>
      <c r="K14" s="103">
        <f t="shared" si="1"/>
        <v>2.1270416090865467</v>
      </c>
      <c r="L14" s="102">
        <f t="shared" si="1"/>
        <v>17.40478224411072</v>
      </c>
      <c r="M14" s="104">
        <f t="shared" si="1"/>
        <v>-2.249562608699307E-2</v>
      </c>
      <c r="N14" s="63"/>
      <c r="O14" s="991"/>
      <c r="P14" s="991"/>
    </row>
    <row r="15" spans="1:16">
      <c r="A15" s="36"/>
      <c r="B15" s="810"/>
      <c r="C15" s="161"/>
      <c r="D15" s="59"/>
      <c r="E15" s="59"/>
      <c r="F15" s="59"/>
      <c r="G15" s="59"/>
      <c r="H15" s="59"/>
      <c r="I15" s="59"/>
      <c r="J15" s="59"/>
      <c r="K15" s="59"/>
      <c r="L15" s="59"/>
      <c r="M15" s="59"/>
      <c r="O15" s="64"/>
      <c r="P15" s="64"/>
    </row>
    <row r="16" spans="1:16">
      <c r="A16" s="36"/>
      <c r="B16" s="804" t="s">
        <v>178</v>
      </c>
      <c r="C16" s="142" t="s">
        <v>7</v>
      </c>
      <c r="D16" s="109">
        <f>1-INDEX(Data!$D$73:$D$100,MATCH('RFPR cover'!$C$5,Data!$B$73:$B$100,0),0)</f>
        <v>0.46499999999999997</v>
      </c>
      <c r="E16" s="110">
        <f>1-INDEX(Data!$D$73:$D$100,MATCH('RFPR cover'!$C$5,Data!$B$73:$B$100,0),0)</f>
        <v>0.46499999999999997</v>
      </c>
      <c r="F16" s="110">
        <f>1-INDEX(Data!$D$73:$D$100,MATCH('RFPR cover'!$C$5,Data!$B$73:$B$100,0),0)</f>
        <v>0.46499999999999997</v>
      </c>
      <c r="G16" s="110">
        <f>1-INDEX(Data!$D$73:$D$100,MATCH('RFPR cover'!$C$5,Data!$B$73:$B$100,0),0)</f>
        <v>0.46499999999999997</v>
      </c>
      <c r="H16" s="110">
        <f>1-INDEX(Data!$D$73:$D$100,MATCH('RFPR cover'!$C$5,Data!$B$73:$B$100,0),0)</f>
        <v>0.46499999999999997</v>
      </c>
      <c r="I16" s="110">
        <f>1-INDEX(Data!$D$73:$D$100,MATCH('RFPR cover'!$C$5,Data!$B$73:$B$100,0),0)</f>
        <v>0.46499999999999997</v>
      </c>
      <c r="J16" s="110">
        <f>1-INDEX(Data!$D$73:$D$100,MATCH('RFPR cover'!$C$5,Data!$B$73:$B$100,0),0)</f>
        <v>0.46499999999999997</v>
      </c>
      <c r="K16" s="111">
        <f>1-INDEX(Data!$D$73:$D$100,MATCH('RFPR cover'!$C$5,Data!$B$73:$B$100,0),0)</f>
        <v>0.46499999999999997</v>
      </c>
      <c r="L16" s="62"/>
      <c r="M16" s="62"/>
      <c r="O16"/>
      <c r="P16"/>
    </row>
    <row r="17" spans="1:16">
      <c r="A17" s="36"/>
      <c r="B17" s="804"/>
      <c r="O17"/>
      <c r="P17"/>
    </row>
    <row r="18" spans="1:16">
      <c r="A18" s="36"/>
      <c r="B18" s="811" t="s">
        <v>183</v>
      </c>
      <c r="C18" s="165" t="str">
        <f>'RFPR cover'!$C$14</f>
        <v>£m 12/13</v>
      </c>
      <c r="D18" s="95">
        <f>D14*D16</f>
        <v>10.735007060133324</v>
      </c>
      <c r="E18" s="96">
        <f t="shared" ref="E18:K18" si="2">E14*E16</f>
        <v>3.5636050045650127</v>
      </c>
      <c r="F18" s="96">
        <f t="shared" si="2"/>
        <v>4.1018242571883521</v>
      </c>
      <c r="G18" s="96">
        <f t="shared" si="2"/>
        <v>-10.307212578375164</v>
      </c>
      <c r="H18" s="96">
        <f t="shared" si="2"/>
        <v>-5.0552814838993605</v>
      </c>
      <c r="I18" s="96">
        <f t="shared" si="2"/>
        <v>-5.2632529425227119</v>
      </c>
      <c r="J18" s="96">
        <f t="shared" si="2"/>
        <v>1.2257758685550637</v>
      </c>
      <c r="K18" s="96">
        <f t="shared" si="2"/>
        <v>0.9890743482252442</v>
      </c>
      <c r="L18" s="95">
        <f>SUM(D18:INDEX(D18:K18,0,MATCH('RFPR cover'!$C$7,$D$6:$K$6,0)))</f>
        <v>8.0932237435115226</v>
      </c>
      <c r="M18" s="97">
        <f>SUM(D18:K18)</f>
        <v>-1.0460466130241874E-2</v>
      </c>
      <c r="O18"/>
      <c r="P18"/>
    </row>
    <row r="19" spans="1:16">
      <c r="A19" s="36"/>
      <c r="B19" s="811" t="s">
        <v>280</v>
      </c>
      <c r="C19" s="165" t="str">
        <f>'RFPR cover'!$C$14</f>
        <v>£m 12/13</v>
      </c>
      <c r="D19" s="92">
        <f>D14*(1-D16)</f>
        <v>12.351029628325438</v>
      </c>
      <c r="E19" s="93">
        <f t="shared" ref="E19:K19" si="3">E14*(1-E16)</f>
        <v>4.100061671918886</v>
      </c>
      <c r="F19" s="93">
        <f t="shared" si="3"/>
        <v>4.7193031776253092</v>
      </c>
      <c r="G19" s="93">
        <f t="shared" si="3"/>
        <v>-11.858835977270353</v>
      </c>
      <c r="H19" s="93">
        <f t="shared" si="3"/>
        <v>-5.8162915997551785</v>
      </c>
      <c r="I19" s="93">
        <f t="shared" si="3"/>
        <v>-6.055570589784196</v>
      </c>
      <c r="J19" s="93">
        <f t="shared" si="3"/>
        <v>1.4103012681224929</v>
      </c>
      <c r="K19" s="93">
        <f t="shared" si="3"/>
        <v>1.1379672608613025</v>
      </c>
      <c r="L19" s="92">
        <f>SUM(D19:INDEX(D19:K19,0,MATCH('RFPR cover'!$C$7,$D$6:$K$6,0)))</f>
        <v>9.3115585005992827</v>
      </c>
      <c r="M19" s="94">
        <f>SUM(D19:K19)</f>
        <v>-1.2035159956296448E-2</v>
      </c>
      <c r="O19"/>
      <c r="P19"/>
    </row>
    <row r="20" spans="1:16">
      <c r="A20" s="36"/>
      <c r="B20" s="804"/>
      <c r="O20"/>
      <c r="P20"/>
    </row>
    <row r="21" spans="1:16">
      <c r="A21" s="36"/>
      <c r="B21" s="812" t="s">
        <v>182</v>
      </c>
      <c r="N21" s="63"/>
      <c r="O21"/>
      <c r="P21"/>
    </row>
    <row r="22" spans="1:16">
      <c r="A22" s="279" t="s">
        <v>151</v>
      </c>
      <c r="B22" s="802" t="s">
        <v>563</v>
      </c>
      <c r="C22" s="161" t="str">
        <f>'RFPR cover'!$C$14</f>
        <v>£m 12/13</v>
      </c>
      <c r="D22" s="606">
        <v>-23.086036688458762</v>
      </c>
      <c r="E22" s="607">
        <v>-7.6636666764838992</v>
      </c>
      <c r="F22" s="607">
        <v>-8.8211274348136612</v>
      </c>
      <c r="G22" s="607">
        <v>22.166048555645517</v>
      </c>
      <c r="H22" s="607">
        <v>10.871573083654539</v>
      </c>
      <c r="I22" s="607">
        <v>11.318823532306908</v>
      </c>
      <c r="J22" s="607">
        <v>-2.6360771366775566</v>
      </c>
      <c r="K22" s="607">
        <v>-2.1270416090865467</v>
      </c>
      <c r="L22" s="608">
        <f>SUM(D22:INDEX(D22:K22,0,MATCH('RFPR cover'!$C$7,$D$6:$K$6,0)))</f>
        <v>-17.404782244110805</v>
      </c>
      <c r="M22" s="609">
        <f t="shared" ref="M22:M27" si="4">SUM(D22:K22)</f>
        <v>2.2495626086538323E-2</v>
      </c>
      <c r="N22" s="597" t="s">
        <v>564</v>
      </c>
      <c r="O22"/>
      <c r="P22"/>
    </row>
    <row r="23" spans="1:16">
      <c r="A23" s="279" t="s">
        <v>152</v>
      </c>
      <c r="B23" s="802" t="s">
        <v>242</v>
      </c>
      <c r="C23" s="161" t="str">
        <f>'RFPR cover'!$C$14</f>
        <v>£m 12/13</v>
      </c>
      <c r="D23" s="610">
        <v>0</v>
      </c>
      <c r="E23" s="611">
        <v>0</v>
      </c>
      <c r="F23" s="611">
        <v>0</v>
      </c>
      <c r="G23" s="611">
        <v>0</v>
      </c>
      <c r="H23" s="611">
        <v>0</v>
      </c>
      <c r="I23" s="611">
        <v>0</v>
      </c>
      <c r="J23" s="611">
        <v>0</v>
      </c>
      <c r="K23" s="611">
        <v>0</v>
      </c>
      <c r="L23" s="612">
        <f>SUM(D23:INDEX(D23:K23,0,MATCH('RFPR cover'!$C$7,$D$6:$K$6,0)))</f>
        <v>0</v>
      </c>
      <c r="M23" s="613">
        <f t="shared" si="4"/>
        <v>0</v>
      </c>
      <c r="N23" s="598" t="s">
        <v>564</v>
      </c>
      <c r="O23"/>
      <c r="P23"/>
    </row>
    <row r="24" spans="1:16">
      <c r="A24" s="279" t="s">
        <v>153</v>
      </c>
      <c r="B24" s="802" t="s">
        <v>242</v>
      </c>
      <c r="C24" s="161" t="str">
        <f>'RFPR cover'!$C$14</f>
        <v>£m 12/13</v>
      </c>
      <c r="D24" s="610">
        <v>0</v>
      </c>
      <c r="E24" s="611">
        <v>0</v>
      </c>
      <c r="F24" s="611">
        <v>0</v>
      </c>
      <c r="G24" s="611">
        <v>0</v>
      </c>
      <c r="H24" s="611">
        <v>0</v>
      </c>
      <c r="I24" s="611">
        <v>0</v>
      </c>
      <c r="J24" s="611">
        <v>0</v>
      </c>
      <c r="K24" s="611">
        <v>0</v>
      </c>
      <c r="L24" s="612">
        <f>SUM(D24:INDEX(D24:K24,0,MATCH('RFPR cover'!$C$7,$D$6:$K$6,0)))</f>
        <v>0</v>
      </c>
      <c r="M24" s="613">
        <f t="shared" si="4"/>
        <v>0</v>
      </c>
      <c r="N24" s="598" t="s">
        <v>564</v>
      </c>
      <c r="O24"/>
      <c r="P24"/>
    </row>
    <row r="25" spans="1:16">
      <c r="A25" s="279" t="s">
        <v>168</v>
      </c>
      <c r="B25" s="802" t="s">
        <v>242</v>
      </c>
      <c r="C25" s="161" t="str">
        <f>'RFPR cover'!$C$14</f>
        <v>£m 12/13</v>
      </c>
      <c r="D25" s="610">
        <v>0</v>
      </c>
      <c r="E25" s="611">
        <v>0</v>
      </c>
      <c r="F25" s="611">
        <v>0</v>
      </c>
      <c r="G25" s="611">
        <v>0</v>
      </c>
      <c r="H25" s="611">
        <v>0</v>
      </c>
      <c r="I25" s="611">
        <v>0</v>
      </c>
      <c r="J25" s="611">
        <v>0</v>
      </c>
      <c r="K25" s="611">
        <v>0</v>
      </c>
      <c r="L25" s="612">
        <f>SUM(D25:INDEX(D25:K25,0,MATCH('RFPR cover'!$C$7,$D$6:$K$6,0)))</f>
        <v>0</v>
      </c>
      <c r="M25" s="613">
        <f t="shared" si="4"/>
        <v>0</v>
      </c>
      <c r="N25" s="598" t="s">
        <v>564</v>
      </c>
      <c r="O25"/>
      <c r="P25"/>
    </row>
    <row r="26" spans="1:16">
      <c r="A26" s="279" t="s">
        <v>169</v>
      </c>
      <c r="B26" s="802" t="s">
        <v>242</v>
      </c>
      <c r="C26" s="161" t="str">
        <f>'RFPR cover'!$C$14</f>
        <v>£m 12/13</v>
      </c>
      <c r="D26" s="610">
        <v>0</v>
      </c>
      <c r="E26" s="611">
        <v>0</v>
      </c>
      <c r="F26" s="611">
        <v>0</v>
      </c>
      <c r="G26" s="611">
        <v>0</v>
      </c>
      <c r="H26" s="611">
        <v>0</v>
      </c>
      <c r="I26" s="611">
        <v>0</v>
      </c>
      <c r="J26" s="611">
        <v>0</v>
      </c>
      <c r="K26" s="611">
        <v>0</v>
      </c>
      <c r="L26" s="612">
        <f>SUM(D26:INDEX(D26:K26,0,MATCH('RFPR cover'!$C$7,$D$6:$K$6,0)))</f>
        <v>0</v>
      </c>
      <c r="M26" s="613">
        <f t="shared" si="4"/>
        <v>0</v>
      </c>
      <c r="N26" s="598" t="s">
        <v>564</v>
      </c>
      <c r="O26"/>
      <c r="P26"/>
    </row>
    <row r="27" spans="1:16">
      <c r="A27" s="279" t="s">
        <v>170</v>
      </c>
      <c r="B27" s="802" t="s">
        <v>242</v>
      </c>
      <c r="C27" s="161" t="str">
        <f>'RFPR cover'!$C$14</f>
        <v>£m 12/13</v>
      </c>
      <c r="D27" s="614">
        <v>0</v>
      </c>
      <c r="E27" s="615">
        <v>0</v>
      </c>
      <c r="F27" s="615">
        <v>0</v>
      </c>
      <c r="G27" s="615">
        <v>0</v>
      </c>
      <c r="H27" s="615">
        <v>0</v>
      </c>
      <c r="I27" s="615">
        <v>0</v>
      </c>
      <c r="J27" s="615">
        <v>0</v>
      </c>
      <c r="K27" s="615">
        <v>0</v>
      </c>
      <c r="L27" s="616">
        <f>SUM(D27:INDEX(D27:K27,0,MATCH('RFPR cover'!$C$7,$D$6:$K$6,0)))</f>
        <v>0</v>
      </c>
      <c r="M27" s="617">
        <f t="shared" si="4"/>
        <v>0</v>
      </c>
      <c r="N27" s="599" t="s">
        <v>564</v>
      </c>
      <c r="O27"/>
      <c r="P27"/>
    </row>
    <row r="28" spans="1:16">
      <c r="A28" s="36"/>
      <c r="B28" s="812" t="s">
        <v>190</v>
      </c>
      <c r="C28" s="161" t="str">
        <f>'RFPR cover'!$C$14</f>
        <v>£m 12/13</v>
      </c>
      <c r="D28" s="102">
        <f>SUM(D22:D27)</f>
        <v>-23.086036688458762</v>
      </c>
      <c r="E28" s="103">
        <f t="shared" ref="E28:K28" si="5">SUM(E22:E27)</f>
        <v>-7.6636666764838992</v>
      </c>
      <c r="F28" s="103">
        <f t="shared" si="5"/>
        <v>-8.8211274348136612</v>
      </c>
      <c r="G28" s="103">
        <f t="shared" si="5"/>
        <v>22.166048555645517</v>
      </c>
      <c r="H28" s="103">
        <f t="shared" si="5"/>
        <v>10.871573083654539</v>
      </c>
      <c r="I28" s="103">
        <f t="shared" si="5"/>
        <v>11.318823532306908</v>
      </c>
      <c r="J28" s="103">
        <f t="shared" si="5"/>
        <v>-2.6360771366775566</v>
      </c>
      <c r="K28" s="103">
        <f t="shared" si="5"/>
        <v>-2.1270416090865467</v>
      </c>
      <c r="L28" s="102">
        <f>SUM(D28:INDEX(D28:K28,0,MATCH('RFPR cover'!$C$7,$D$6:$K$6,0)))</f>
        <v>-17.404782244110805</v>
      </c>
      <c r="M28" s="104">
        <f>SUM(D28:K28)</f>
        <v>2.2495626086538323E-2</v>
      </c>
      <c r="N28" s="63"/>
    </row>
    <row r="29" spans="1:16">
      <c r="A29" s="36"/>
      <c r="B29" s="804"/>
    </row>
    <row r="30" spans="1:16">
      <c r="A30" s="36"/>
      <c r="B30" s="811" t="s">
        <v>198</v>
      </c>
      <c r="C30" s="165" t="str">
        <f>'RFPR cover'!$C$14</f>
        <v>£m 12/13</v>
      </c>
      <c r="D30" s="95">
        <f t="shared" ref="D30:K30" si="6">D28*D16</f>
        <v>-10.735007060133324</v>
      </c>
      <c r="E30" s="96">
        <f t="shared" si="6"/>
        <v>-3.5636050045650127</v>
      </c>
      <c r="F30" s="96">
        <f t="shared" si="6"/>
        <v>-4.1018242571883521</v>
      </c>
      <c r="G30" s="96">
        <f t="shared" si="6"/>
        <v>10.307212578375164</v>
      </c>
      <c r="H30" s="96">
        <f t="shared" si="6"/>
        <v>5.0552814838993605</v>
      </c>
      <c r="I30" s="96">
        <f t="shared" si="6"/>
        <v>5.2632529425227119</v>
      </c>
      <c r="J30" s="96">
        <f t="shared" si="6"/>
        <v>-1.2257758685550637</v>
      </c>
      <c r="K30" s="96">
        <f t="shared" si="6"/>
        <v>-0.9890743482252442</v>
      </c>
      <c r="L30" s="95">
        <f>SUM(D30:INDEX(D30:K30,0,MATCH('RFPR cover'!$C$7,$D$6:$K$6,0)))</f>
        <v>-8.0932237435115226</v>
      </c>
      <c r="M30" s="97">
        <f>SUM(D30:K30)</f>
        <v>1.0460466130241874E-2</v>
      </c>
    </row>
    <row r="31" spans="1:16">
      <c r="A31" s="36"/>
      <c r="B31" s="811" t="s">
        <v>310</v>
      </c>
      <c r="C31" s="165" t="str">
        <f>'RFPR cover'!$C$14</f>
        <v>£m 12/13</v>
      </c>
      <c r="D31" s="92">
        <f t="shared" ref="D31:K31" si="7">D28*(1-D16)</f>
        <v>-12.351029628325438</v>
      </c>
      <c r="E31" s="93">
        <f t="shared" si="7"/>
        <v>-4.100061671918886</v>
      </c>
      <c r="F31" s="93">
        <f t="shared" si="7"/>
        <v>-4.7193031776253092</v>
      </c>
      <c r="G31" s="93">
        <f t="shared" si="7"/>
        <v>11.858835977270353</v>
      </c>
      <c r="H31" s="93">
        <f t="shared" si="7"/>
        <v>5.8162915997551785</v>
      </c>
      <c r="I31" s="93">
        <f t="shared" si="7"/>
        <v>6.055570589784196</v>
      </c>
      <c r="J31" s="93">
        <f t="shared" si="7"/>
        <v>-1.4103012681224929</v>
      </c>
      <c r="K31" s="93">
        <f t="shared" si="7"/>
        <v>-1.1379672608613025</v>
      </c>
      <c r="L31" s="92">
        <f>SUM(D31:INDEX(D31:K31,0,MATCH('RFPR cover'!$C$7,$D$6:$K$6,0)))</f>
        <v>-9.3115585005992827</v>
      </c>
      <c r="M31" s="94">
        <f>SUM(D31:K31)</f>
        <v>1.2035159956296448E-2</v>
      </c>
    </row>
    <row r="32" spans="1:16">
      <c r="A32" s="36"/>
      <c r="B32" s="804"/>
    </row>
    <row r="33" spans="1:16">
      <c r="A33" s="36"/>
      <c r="B33" s="812" t="s">
        <v>181</v>
      </c>
    </row>
    <row r="34" spans="1:16">
      <c r="A34" s="36"/>
      <c r="B34" s="804" t="s">
        <v>180</v>
      </c>
      <c r="C34" s="161" t="str">
        <f>'RFPR cover'!$C$14</f>
        <v>£m 12/13</v>
      </c>
      <c r="D34" s="95">
        <f>D18+D30</f>
        <v>0</v>
      </c>
      <c r="E34" s="96">
        <f t="shared" ref="E34:K34" si="8">E18+E30</f>
        <v>0</v>
      </c>
      <c r="F34" s="96">
        <f t="shared" si="8"/>
        <v>0</v>
      </c>
      <c r="G34" s="96">
        <f t="shared" si="8"/>
        <v>0</v>
      </c>
      <c r="H34" s="96">
        <f t="shared" si="8"/>
        <v>0</v>
      </c>
      <c r="I34" s="96">
        <f t="shared" si="8"/>
        <v>0</v>
      </c>
      <c r="J34" s="96">
        <f t="shared" si="8"/>
        <v>0</v>
      </c>
      <c r="K34" s="96">
        <f t="shared" si="8"/>
        <v>0</v>
      </c>
      <c r="L34" s="95">
        <f>SUM(D34:INDEX(D34:K34,0,MATCH('RFPR cover'!$C$7,$D$6:$K$6,0)))</f>
        <v>0</v>
      </c>
      <c r="M34" s="97">
        <f>SUM(D34:K34)</f>
        <v>0</v>
      </c>
    </row>
    <row r="35" spans="1:16">
      <c r="A35" s="36"/>
      <c r="B35" s="804" t="s">
        <v>280</v>
      </c>
      <c r="C35" s="161" t="str">
        <f>'RFPR cover'!$C$14</f>
        <v>£m 12/13</v>
      </c>
      <c r="D35" s="98">
        <f>D19+D31</f>
        <v>0</v>
      </c>
      <c r="E35" s="99">
        <f t="shared" ref="E35:K35" si="9">E19+E31</f>
        <v>0</v>
      </c>
      <c r="F35" s="99">
        <f t="shared" si="9"/>
        <v>0</v>
      </c>
      <c r="G35" s="99">
        <f t="shared" si="9"/>
        <v>0</v>
      </c>
      <c r="H35" s="99">
        <f t="shared" si="9"/>
        <v>0</v>
      </c>
      <c r="I35" s="99">
        <f t="shared" si="9"/>
        <v>0</v>
      </c>
      <c r="J35" s="99">
        <f t="shared" si="9"/>
        <v>0</v>
      </c>
      <c r="K35" s="99">
        <f t="shared" si="9"/>
        <v>0</v>
      </c>
      <c r="L35" s="98">
        <f>SUM(D35:INDEX(D35:K35,0,MATCH('RFPR cover'!$C$7,$D$6:$K$6,0)))</f>
        <v>0</v>
      </c>
      <c r="M35" s="100">
        <f>SUM(D35:K35)</f>
        <v>0</v>
      </c>
    </row>
    <row r="36" spans="1:16">
      <c r="A36" s="36"/>
      <c r="B36" s="812" t="s">
        <v>11</v>
      </c>
      <c r="C36" s="162" t="str">
        <f>'RFPR cover'!$C$14</f>
        <v>£m 12/13</v>
      </c>
      <c r="D36" s="145">
        <f>SUM(D34:D35)</f>
        <v>0</v>
      </c>
      <c r="E36" s="146">
        <f t="shared" ref="E36:K36" si="10">SUM(E34:E35)</f>
        <v>0</v>
      </c>
      <c r="F36" s="146">
        <f t="shared" si="10"/>
        <v>0</v>
      </c>
      <c r="G36" s="146">
        <f t="shared" si="10"/>
        <v>0</v>
      </c>
      <c r="H36" s="146">
        <f t="shared" si="10"/>
        <v>0</v>
      </c>
      <c r="I36" s="146">
        <f t="shared" si="10"/>
        <v>0</v>
      </c>
      <c r="J36" s="146">
        <f t="shared" si="10"/>
        <v>0</v>
      </c>
      <c r="K36" s="146">
        <f t="shared" si="10"/>
        <v>0</v>
      </c>
      <c r="L36" s="145">
        <f>SUM(D36:INDEX(D36:K36,0,MATCH('RFPR cover'!$C$7,$D$6:$K$6,0)))</f>
        <v>0</v>
      </c>
      <c r="M36" s="147">
        <f>SUM(D36:K36)</f>
        <v>0</v>
      </c>
    </row>
    <row r="37" spans="1:16">
      <c r="A37" s="36"/>
      <c r="B37" s="804"/>
    </row>
    <row r="38" spans="1:16">
      <c r="A38" s="36"/>
      <c r="B38" s="807" t="str">
        <f>Data!B51</f>
        <v>n/a</v>
      </c>
      <c r="C38" s="156"/>
      <c r="D38" s="81"/>
      <c r="E38" s="81"/>
      <c r="F38" s="81"/>
      <c r="G38" s="81"/>
      <c r="H38" s="81"/>
      <c r="I38" s="81"/>
      <c r="J38" s="81"/>
      <c r="K38" s="81"/>
      <c r="L38" s="81"/>
      <c r="M38" s="81"/>
      <c r="N38" s="81"/>
    </row>
    <row r="39" spans="1:16" s="36" customFormat="1">
      <c r="B39" s="805"/>
      <c r="C39" s="144"/>
      <c r="D39" s="335"/>
      <c r="E39" s="335"/>
      <c r="F39" s="335"/>
      <c r="G39" s="335"/>
      <c r="H39" s="335"/>
      <c r="I39" s="335"/>
      <c r="J39" s="335"/>
      <c r="K39" s="335"/>
      <c r="L39" s="335"/>
      <c r="M39" s="335"/>
      <c r="N39" s="335"/>
    </row>
    <row r="40" spans="1:16">
      <c r="A40" s="36"/>
      <c r="B40" s="320" t="s">
        <v>34</v>
      </c>
      <c r="C40" s="161" t="str">
        <f>'RFPR cover'!$C$14</f>
        <v>£m 12/13</v>
      </c>
      <c r="D40" s="672"/>
      <c r="E40" s="673"/>
      <c r="F40" s="673"/>
      <c r="G40" s="673"/>
      <c r="H40" s="673"/>
      <c r="I40" s="673"/>
      <c r="J40" s="673"/>
      <c r="K40" s="673"/>
      <c r="L40" s="674">
        <f>SUM(D40:INDEX(D40:K40,0,MATCH('RFPR cover'!$C$7,$D$6:$K$6,0)))</f>
        <v>0</v>
      </c>
      <c r="M40" s="675">
        <f>SUM(D40:K40)</f>
        <v>0</v>
      </c>
      <c r="N40" s="367"/>
      <c r="O40" s="63"/>
    </row>
    <row r="41" spans="1:16" ht="25.5">
      <c r="A41" s="36"/>
      <c r="B41" s="809" t="s">
        <v>499</v>
      </c>
      <c r="C41" s="161" t="str">
        <f>'RFPR cover'!$C$14</f>
        <v>£m 12/13</v>
      </c>
      <c r="D41" s="676"/>
      <c r="E41" s="677"/>
      <c r="F41" s="677"/>
      <c r="G41" s="677"/>
      <c r="H41" s="677"/>
      <c r="I41" s="677"/>
      <c r="J41" s="677"/>
      <c r="K41" s="677"/>
      <c r="L41" s="678">
        <f>SUM(D41:INDEX(D41:K41,0,MATCH('RFPR cover'!$C$7,$D$6:$K$6,0)))</f>
        <v>0</v>
      </c>
      <c r="M41" s="679">
        <f>SUM(D41:K41)</f>
        <v>0</v>
      </c>
      <c r="N41" s="367"/>
      <c r="O41" s="63"/>
    </row>
    <row r="42" spans="1:16">
      <c r="A42" s="36"/>
      <c r="B42" s="810" t="s">
        <v>195</v>
      </c>
      <c r="C42" s="161"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70">
        <f t="shared" si="11"/>
        <v>0</v>
      </c>
      <c r="M42" s="371">
        <f t="shared" si="11"/>
        <v>0</v>
      </c>
      <c r="N42" s="368"/>
      <c r="O42" s="991"/>
      <c r="P42" s="991"/>
    </row>
    <row r="43" spans="1:16">
      <c r="A43" s="36"/>
      <c r="B43" s="810"/>
      <c r="C43" s="161"/>
      <c r="D43" s="59"/>
      <c r="E43" s="59"/>
      <c r="F43" s="59"/>
      <c r="G43" s="59"/>
      <c r="H43" s="59"/>
      <c r="I43" s="59"/>
      <c r="J43" s="59"/>
      <c r="K43" s="59"/>
      <c r="L43" s="59"/>
      <c r="M43" s="59"/>
      <c r="N43" s="364"/>
      <c r="O43" s="64"/>
      <c r="P43" s="64"/>
    </row>
    <row r="44" spans="1:16">
      <c r="A44" s="36"/>
      <c r="B44" s="804" t="s">
        <v>178</v>
      </c>
      <c r="C44" s="142" t="s">
        <v>7</v>
      </c>
      <c r="D44" s="109">
        <f>1-INDEX(Data!$D$73:$D$100,MATCH('RFPR cover'!$C$5,Data!$B$73:$B$100,0),0)</f>
        <v>0.46499999999999997</v>
      </c>
      <c r="E44" s="110">
        <f>1-INDEX(Data!$D$73:$D$100,MATCH('RFPR cover'!$C$5,Data!$B$73:$B$100,0),0)</f>
        <v>0.46499999999999997</v>
      </c>
      <c r="F44" s="110">
        <f>1-INDEX(Data!$D$73:$D$100,MATCH('RFPR cover'!$C$5,Data!$B$73:$B$100,0),0)</f>
        <v>0.46499999999999997</v>
      </c>
      <c r="G44" s="110">
        <f>1-INDEX(Data!$D$73:$D$100,MATCH('RFPR cover'!$C$5,Data!$B$73:$B$100,0),0)</f>
        <v>0.46499999999999997</v>
      </c>
      <c r="H44" s="110">
        <f>1-INDEX(Data!$D$73:$D$100,MATCH('RFPR cover'!$C$5,Data!$B$73:$B$100,0),0)</f>
        <v>0.46499999999999997</v>
      </c>
      <c r="I44" s="110">
        <f>1-INDEX(Data!$D$73:$D$100,MATCH('RFPR cover'!$C$5,Data!$B$73:$B$100,0),0)</f>
        <v>0.46499999999999997</v>
      </c>
      <c r="J44" s="110">
        <f>1-INDEX(Data!$D$73:$D$100,MATCH('RFPR cover'!$C$5,Data!$B$73:$B$100,0),0)</f>
        <v>0.46499999999999997</v>
      </c>
      <c r="K44" s="111">
        <f>1-INDEX(Data!$D$73:$D$100,MATCH('RFPR cover'!$C$5,Data!$B$73:$B$100,0),0)</f>
        <v>0.46499999999999997</v>
      </c>
      <c r="L44" s="62"/>
      <c r="M44" s="62"/>
      <c r="N44" s="365"/>
      <c r="O44"/>
      <c r="P44"/>
    </row>
    <row r="45" spans="1:16">
      <c r="A45" s="36"/>
      <c r="B45" s="804"/>
      <c r="N45" s="366"/>
      <c r="O45"/>
      <c r="P45"/>
    </row>
    <row r="46" spans="1:16">
      <c r="A46" s="36"/>
      <c r="B46" s="811" t="s">
        <v>183</v>
      </c>
      <c r="C46" s="165"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72">
        <f>SUM(D46:INDEX(D46:K46,0,MATCH('RFPR cover'!$C$7,$D$6:$K$6,0)))</f>
        <v>0</v>
      </c>
      <c r="M46" s="600">
        <f>SUM(D46:K46)</f>
        <v>0</v>
      </c>
      <c r="N46" s="368"/>
      <c r="O46"/>
      <c r="P46"/>
    </row>
    <row r="47" spans="1:16">
      <c r="A47" s="36"/>
      <c r="B47" s="811" t="s">
        <v>280</v>
      </c>
      <c r="C47" s="165" t="str">
        <f>'RFPR cover'!$C$14</f>
        <v>£m 12/13</v>
      </c>
      <c r="D47" s="602">
        <f>D42*(1-D44)</f>
        <v>0</v>
      </c>
      <c r="E47" s="603">
        <f t="shared" ref="E47:K47" si="13">E42*(1-E44)</f>
        <v>0</v>
      </c>
      <c r="F47" s="603">
        <f t="shared" si="13"/>
        <v>0</v>
      </c>
      <c r="G47" s="603">
        <f t="shared" si="13"/>
        <v>0</v>
      </c>
      <c r="H47" s="603">
        <f t="shared" si="13"/>
        <v>0</v>
      </c>
      <c r="I47" s="603">
        <f t="shared" si="13"/>
        <v>0</v>
      </c>
      <c r="J47" s="603">
        <f t="shared" si="13"/>
        <v>0</v>
      </c>
      <c r="K47" s="603">
        <f t="shared" si="13"/>
        <v>0</v>
      </c>
      <c r="L47" s="604">
        <f>SUM(D47:INDEX(D47:K47,0,MATCH('RFPR cover'!$C$7,$D$6:$K$6,0)))</f>
        <v>0</v>
      </c>
      <c r="M47" s="605">
        <f>SUM(D47:K47)</f>
        <v>0</v>
      </c>
      <c r="N47" s="368"/>
      <c r="O47"/>
      <c r="P47"/>
    </row>
    <row r="48" spans="1:16">
      <c r="A48" s="36"/>
      <c r="B48" s="804"/>
      <c r="N48" s="366"/>
      <c r="O48"/>
      <c r="P48"/>
    </row>
    <row r="49" spans="1:16">
      <c r="A49" s="36"/>
      <c r="B49" s="812" t="s">
        <v>182</v>
      </c>
      <c r="N49" s="366"/>
      <c r="O49"/>
      <c r="P49"/>
    </row>
    <row r="50" spans="1:16">
      <c r="A50" s="279" t="s">
        <v>151</v>
      </c>
      <c r="B50" s="802" t="s">
        <v>242</v>
      </c>
      <c r="C50" s="161" t="str">
        <f>'RFPR cover'!$C$14</f>
        <v>£m 12/13</v>
      </c>
      <c r="D50" s="606"/>
      <c r="E50" s="607"/>
      <c r="F50" s="607"/>
      <c r="G50" s="607"/>
      <c r="H50" s="607"/>
      <c r="I50" s="607"/>
      <c r="J50" s="607"/>
      <c r="K50" s="607"/>
      <c r="L50" s="680">
        <f>SUM(D50:INDEX(D50:K50,0,MATCH('RFPR cover'!$C$7,$D$6:$K$6,0)))</f>
        <v>0</v>
      </c>
      <c r="M50" s="681">
        <f t="shared" ref="M50:M56" si="14">SUM(D50:K50)</f>
        <v>0</v>
      </c>
      <c r="N50" s="597"/>
      <c r="O50"/>
      <c r="P50"/>
    </row>
    <row r="51" spans="1:16">
      <c r="A51" s="279" t="s">
        <v>152</v>
      </c>
      <c r="B51" s="802" t="s">
        <v>242</v>
      </c>
      <c r="C51" s="161" t="str">
        <f>'RFPR cover'!$C$14</f>
        <v>£m 12/13</v>
      </c>
      <c r="D51" s="610"/>
      <c r="E51" s="611"/>
      <c r="F51" s="611"/>
      <c r="G51" s="611"/>
      <c r="H51" s="611"/>
      <c r="I51" s="611"/>
      <c r="J51" s="611"/>
      <c r="K51" s="611"/>
      <c r="L51" s="682">
        <f>SUM(D51:INDEX(D51:K51,0,MATCH('RFPR cover'!$C$7,$D$6:$K$6,0)))</f>
        <v>0</v>
      </c>
      <c r="M51" s="683">
        <f t="shared" si="14"/>
        <v>0</v>
      </c>
      <c r="N51" s="598"/>
      <c r="O51"/>
      <c r="P51"/>
    </row>
    <row r="52" spans="1:16">
      <c r="A52" s="279" t="s">
        <v>153</v>
      </c>
      <c r="B52" s="802" t="s">
        <v>242</v>
      </c>
      <c r="C52" s="161" t="str">
        <f>'RFPR cover'!$C$14</f>
        <v>£m 12/13</v>
      </c>
      <c r="D52" s="610"/>
      <c r="E52" s="611"/>
      <c r="F52" s="611"/>
      <c r="G52" s="611"/>
      <c r="H52" s="611"/>
      <c r="I52" s="611"/>
      <c r="J52" s="611"/>
      <c r="K52" s="611"/>
      <c r="L52" s="682">
        <f>SUM(D52:INDEX(D52:K52,0,MATCH('RFPR cover'!$C$7,$D$6:$K$6,0)))</f>
        <v>0</v>
      </c>
      <c r="M52" s="683">
        <f t="shared" si="14"/>
        <v>0</v>
      </c>
      <c r="N52" s="598"/>
      <c r="O52"/>
      <c r="P52"/>
    </row>
    <row r="53" spans="1:16">
      <c r="A53" s="279" t="s">
        <v>168</v>
      </c>
      <c r="B53" s="802" t="s">
        <v>242</v>
      </c>
      <c r="C53" s="161" t="str">
        <f>'RFPR cover'!$C$14</f>
        <v>£m 12/13</v>
      </c>
      <c r="D53" s="610"/>
      <c r="E53" s="611"/>
      <c r="F53" s="611"/>
      <c r="G53" s="611"/>
      <c r="H53" s="611"/>
      <c r="I53" s="611"/>
      <c r="J53" s="611"/>
      <c r="K53" s="611"/>
      <c r="L53" s="682">
        <f>SUM(D53:INDEX(D53:K53,0,MATCH('RFPR cover'!$C$7,$D$6:$K$6,0)))</f>
        <v>0</v>
      </c>
      <c r="M53" s="683">
        <f t="shared" si="14"/>
        <v>0</v>
      </c>
      <c r="N53" s="598"/>
      <c r="O53"/>
      <c r="P53"/>
    </row>
    <row r="54" spans="1:16">
      <c r="A54" s="279" t="s">
        <v>169</v>
      </c>
      <c r="B54" s="802" t="s">
        <v>242</v>
      </c>
      <c r="C54" s="161" t="str">
        <f>'RFPR cover'!$C$14</f>
        <v>£m 12/13</v>
      </c>
      <c r="D54" s="610"/>
      <c r="E54" s="611"/>
      <c r="F54" s="611"/>
      <c r="G54" s="611"/>
      <c r="H54" s="611"/>
      <c r="I54" s="611"/>
      <c r="J54" s="611"/>
      <c r="K54" s="611"/>
      <c r="L54" s="682">
        <f>SUM(D54:INDEX(D54:K54,0,MATCH('RFPR cover'!$C$7,$D$6:$K$6,0)))</f>
        <v>0</v>
      </c>
      <c r="M54" s="683">
        <f t="shared" si="14"/>
        <v>0</v>
      </c>
      <c r="N54" s="598"/>
      <c r="O54"/>
      <c r="P54"/>
    </row>
    <row r="55" spans="1:16">
      <c r="A55" s="279" t="s">
        <v>170</v>
      </c>
      <c r="B55" s="802" t="s">
        <v>242</v>
      </c>
      <c r="C55" s="161" t="str">
        <f>'RFPR cover'!$C$14</f>
        <v>£m 12/13</v>
      </c>
      <c r="D55" s="614"/>
      <c r="E55" s="615"/>
      <c r="F55" s="615"/>
      <c r="G55" s="615"/>
      <c r="H55" s="615"/>
      <c r="I55" s="615"/>
      <c r="J55" s="615"/>
      <c r="K55" s="615"/>
      <c r="L55" s="684">
        <f>SUM(D55:INDEX(D55:K55,0,MATCH('RFPR cover'!$C$7,$D$6:$K$6,0)))</f>
        <v>0</v>
      </c>
      <c r="M55" s="685">
        <f t="shared" si="14"/>
        <v>0</v>
      </c>
      <c r="N55" s="599"/>
      <c r="O55"/>
      <c r="P55"/>
    </row>
    <row r="56" spans="1:16">
      <c r="A56" s="36"/>
      <c r="B56" s="812" t="s">
        <v>190</v>
      </c>
      <c r="C56" s="161"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70">
        <f>SUM(D56:INDEX(D56:K56,0,MATCH('RFPR cover'!$C$7,$D$6:$K$6,0)))</f>
        <v>0</v>
      </c>
      <c r="M56" s="371">
        <f t="shared" si="14"/>
        <v>0</v>
      </c>
      <c r="N56" s="368"/>
    </row>
    <row r="57" spans="1:16">
      <c r="A57" s="36"/>
      <c r="B57" s="804"/>
      <c r="N57" s="366"/>
    </row>
    <row r="58" spans="1:16">
      <c r="A58" s="36"/>
      <c r="B58" s="811" t="s">
        <v>198</v>
      </c>
      <c r="C58" s="165"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72">
        <f>SUM(D58:INDEX(D58:K58,0,MATCH('RFPR cover'!$C$7,$D$6:$K$6,0)))</f>
        <v>0</v>
      </c>
      <c r="M58" s="600">
        <f>SUM(D58:K58)</f>
        <v>0</v>
      </c>
      <c r="N58" s="368"/>
    </row>
    <row r="59" spans="1:16">
      <c r="A59" s="36"/>
      <c r="B59" s="811" t="s">
        <v>310</v>
      </c>
      <c r="C59" s="165"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73">
        <f>SUM(D59:INDEX(D59:K59,0,MATCH('RFPR cover'!$C$7,$D$6:$K$6,0)))</f>
        <v>0</v>
      </c>
      <c r="M59" s="601">
        <f>SUM(D59:K59)</f>
        <v>0</v>
      </c>
      <c r="N59" s="368"/>
    </row>
    <row r="60" spans="1:16">
      <c r="A60" s="36"/>
      <c r="B60" s="804"/>
      <c r="N60" s="366"/>
    </row>
    <row r="61" spans="1:16">
      <c r="A61" s="36"/>
      <c r="B61" s="812" t="s">
        <v>181</v>
      </c>
      <c r="N61" s="366"/>
    </row>
    <row r="62" spans="1:16">
      <c r="A62" s="36"/>
      <c r="B62" s="804" t="s">
        <v>180</v>
      </c>
      <c r="C62" s="161"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72">
        <f>SUM(D62:INDEX(D62:K62,0,MATCH('RFPR cover'!$C$7,$D$6:$K$6,0)))</f>
        <v>0</v>
      </c>
      <c r="M62" s="600">
        <f>SUM(D62:K62)</f>
        <v>0</v>
      </c>
      <c r="N62" s="368"/>
    </row>
    <row r="63" spans="1:16">
      <c r="A63" s="36"/>
      <c r="B63" s="804" t="s">
        <v>280</v>
      </c>
      <c r="C63" s="161"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74">
        <f>SUM(D63:INDEX(D63:K63,0,MATCH('RFPR cover'!$C$7,$D$6:$K$6,0)))</f>
        <v>0</v>
      </c>
      <c r="M63" s="601">
        <f>SUM(D63:K63)</f>
        <v>0</v>
      </c>
      <c r="N63" s="368"/>
    </row>
    <row r="64" spans="1:16">
      <c r="A64" s="36"/>
      <c r="B64" s="812" t="s">
        <v>11</v>
      </c>
      <c r="C64" s="162" t="str">
        <f>'RFPR cover'!$C$14</f>
        <v>£m 12/13</v>
      </c>
      <c r="D64" s="145">
        <f>SUM(D62:D63)</f>
        <v>0</v>
      </c>
      <c r="E64" s="146">
        <f t="shared" ref="E64:K64" si="20">SUM(E62:E63)</f>
        <v>0</v>
      </c>
      <c r="F64" s="146">
        <f t="shared" si="20"/>
        <v>0</v>
      </c>
      <c r="G64" s="146">
        <f t="shared" si="20"/>
        <v>0</v>
      </c>
      <c r="H64" s="146">
        <f t="shared" si="20"/>
        <v>0</v>
      </c>
      <c r="I64" s="146">
        <f t="shared" si="20"/>
        <v>0</v>
      </c>
      <c r="J64" s="146">
        <f t="shared" si="20"/>
        <v>0</v>
      </c>
      <c r="K64" s="146">
        <f t="shared" si="20"/>
        <v>0</v>
      </c>
      <c r="L64" s="375">
        <f>SUM(D64:INDEX(D64:K64,0,MATCH('RFPR cover'!$C$7,$D$6:$K$6,0)))</f>
        <v>0</v>
      </c>
      <c r="M64" s="376">
        <f>SUM(D64:K64)</f>
        <v>0</v>
      </c>
      <c r="N64" s="369"/>
    </row>
    <row r="65" spans="1:16">
      <c r="A65" s="36"/>
      <c r="B65" s="812"/>
      <c r="C65" s="162"/>
      <c r="D65" s="162"/>
      <c r="E65" s="162"/>
      <c r="F65" s="162"/>
      <c r="G65" s="162"/>
      <c r="H65" s="162"/>
      <c r="I65" s="162"/>
      <c r="J65" s="162"/>
      <c r="K65" s="162"/>
      <c r="L65" s="162"/>
      <c r="M65" s="162"/>
    </row>
    <row r="66" spans="1:16">
      <c r="A66" s="36"/>
      <c r="B66" s="807" t="s">
        <v>257</v>
      </c>
      <c r="C66" s="156"/>
      <c r="D66" s="81"/>
      <c r="E66" s="81"/>
      <c r="F66" s="81"/>
      <c r="G66" s="81"/>
      <c r="H66" s="81"/>
      <c r="I66" s="81"/>
      <c r="J66" s="81"/>
      <c r="K66" s="81"/>
      <c r="L66" s="81"/>
      <c r="M66" s="81"/>
      <c r="N66" s="81"/>
    </row>
    <row r="67" spans="1:16">
      <c r="A67" s="36"/>
      <c r="B67" s="804"/>
      <c r="O67"/>
      <c r="P67"/>
    </row>
    <row r="68" spans="1:16">
      <c r="A68" s="36"/>
      <c r="B68" s="812" t="s">
        <v>181</v>
      </c>
    </row>
    <row r="69" spans="1:16">
      <c r="A69" s="36"/>
      <c r="B69" s="804" t="s">
        <v>180</v>
      </c>
      <c r="C69" s="161" t="str">
        <f>'RFPR cover'!$C$14</f>
        <v>£m 12/13</v>
      </c>
      <c r="D69" s="95">
        <f>D34+D62</f>
        <v>0</v>
      </c>
      <c r="E69" s="96">
        <f t="shared" ref="E69:K69" si="21">E34+E62</f>
        <v>0</v>
      </c>
      <c r="F69" s="96">
        <f t="shared" si="21"/>
        <v>0</v>
      </c>
      <c r="G69" s="96">
        <f t="shared" si="21"/>
        <v>0</v>
      </c>
      <c r="H69" s="96">
        <f t="shared" si="21"/>
        <v>0</v>
      </c>
      <c r="I69" s="96">
        <f t="shared" si="21"/>
        <v>0</v>
      </c>
      <c r="J69" s="96">
        <f t="shared" si="21"/>
        <v>0</v>
      </c>
      <c r="K69" s="96">
        <f t="shared" si="21"/>
        <v>0</v>
      </c>
      <c r="L69" s="95">
        <f>SUM(D69:INDEX(D69:K69,0,MATCH('RFPR cover'!$C$7,$D$6:$K$6,0)))</f>
        <v>0</v>
      </c>
      <c r="M69" s="97">
        <f>SUM(D69:K69)</f>
        <v>0</v>
      </c>
    </row>
    <row r="70" spans="1:16">
      <c r="A70" s="36"/>
      <c r="B70" s="804" t="s">
        <v>280</v>
      </c>
      <c r="C70" s="161" t="str">
        <f>'RFPR cover'!$C$14</f>
        <v>£m 12/13</v>
      </c>
      <c r="D70" s="543">
        <f t="shared" ref="D70:K70" si="22">D35+D63</f>
        <v>0</v>
      </c>
      <c r="E70" s="544">
        <f t="shared" si="22"/>
        <v>0</v>
      </c>
      <c r="F70" s="544">
        <f t="shared" si="22"/>
        <v>0</v>
      </c>
      <c r="G70" s="544">
        <f t="shared" si="22"/>
        <v>0</v>
      </c>
      <c r="H70" s="544">
        <f t="shared" si="22"/>
        <v>0</v>
      </c>
      <c r="I70" s="544">
        <f t="shared" si="22"/>
        <v>0</v>
      </c>
      <c r="J70" s="544">
        <f t="shared" si="22"/>
        <v>0</v>
      </c>
      <c r="K70" s="544">
        <f t="shared" si="22"/>
        <v>0</v>
      </c>
      <c r="L70" s="543">
        <f>SUM(D70:INDEX(D70:K70,0,MATCH('RFPR cover'!$C$7,$D$6:$K$6,0)))</f>
        <v>0</v>
      </c>
      <c r="M70" s="545">
        <f>SUM(D70:K70)</f>
        <v>0</v>
      </c>
    </row>
    <row r="71" spans="1:16">
      <c r="A71" s="36"/>
      <c r="B71" s="812" t="s">
        <v>11</v>
      </c>
      <c r="C71" s="162" t="str">
        <f>'RFPR cover'!$C$14</f>
        <v>£m 12/13</v>
      </c>
      <c r="D71" s="151">
        <f>SUM(D69:D70)</f>
        <v>0</v>
      </c>
      <c r="E71" s="152">
        <f t="shared" ref="E71:K71" si="23">SUM(E69:E70)</f>
        <v>0</v>
      </c>
      <c r="F71" s="152">
        <f t="shared" si="23"/>
        <v>0</v>
      </c>
      <c r="G71" s="152">
        <f t="shared" si="23"/>
        <v>0</v>
      </c>
      <c r="H71" s="152">
        <f t="shared" si="23"/>
        <v>0</v>
      </c>
      <c r="I71" s="152">
        <f t="shared" si="23"/>
        <v>0</v>
      </c>
      <c r="J71" s="152">
        <f t="shared" si="23"/>
        <v>0</v>
      </c>
      <c r="K71" s="152">
        <f t="shared" si="23"/>
        <v>0</v>
      </c>
      <c r="L71" s="151">
        <f>SUM(D71:INDEX(D71:K71,0,MATCH('RFPR cover'!$C$7,$D$6:$K$6,0)))</f>
        <v>0</v>
      </c>
      <c r="M71" s="153">
        <f>SUM(D71:K71)</f>
        <v>0</v>
      </c>
    </row>
    <row r="72" spans="1:16">
      <c r="A72" s="36"/>
      <c r="B72" s="812"/>
      <c r="C72" s="162"/>
      <c r="D72" s="162"/>
      <c r="E72" s="162"/>
      <c r="F72" s="162"/>
      <c r="G72" s="162"/>
      <c r="H72" s="162"/>
      <c r="I72" s="162"/>
      <c r="J72" s="162"/>
      <c r="K72" s="162"/>
      <c r="L72" s="162"/>
      <c r="M72" s="162"/>
    </row>
    <row r="73" spans="1:16">
      <c r="A73" s="36"/>
      <c r="B73" s="804"/>
    </row>
    <row r="74" spans="1:16">
      <c r="A74" s="36"/>
      <c r="B74" s="807" t="s">
        <v>214</v>
      </c>
      <c r="C74" s="156"/>
      <c r="D74" s="80"/>
      <c r="E74" s="80"/>
      <c r="F74" s="80"/>
      <c r="G74" s="80"/>
      <c r="H74" s="80"/>
      <c r="I74" s="80"/>
      <c r="J74" s="80"/>
      <c r="K74" s="80"/>
      <c r="L74" s="80"/>
      <c r="M74" s="80"/>
      <c r="N74" s="80"/>
    </row>
    <row r="75" spans="1:16">
      <c r="A75" s="36"/>
      <c r="B75" s="385" t="s">
        <v>213</v>
      </c>
      <c r="C75" s="384"/>
      <c r="D75" s="384"/>
      <c r="E75" s="384"/>
      <c r="F75" s="384"/>
      <c r="G75" s="384"/>
      <c r="H75" s="384"/>
      <c r="I75" s="384"/>
      <c r="J75" s="384"/>
      <c r="K75" s="384"/>
      <c r="L75" s="384"/>
      <c r="M75" s="384"/>
      <c r="N75" s="384"/>
    </row>
    <row r="76" spans="1:16" s="36" customFormat="1">
      <c r="B76" s="450"/>
      <c r="C76" s="389"/>
      <c r="D76" s="389"/>
      <c r="E76" s="389"/>
      <c r="F76" s="389"/>
      <c r="G76" s="389"/>
      <c r="H76" s="389"/>
      <c r="I76" s="389"/>
      <c r="J76" s="389"/>
      <c r="K76" s="389"/>
      <c r="L76" s="389"/>
      <c r="M76" s="389"/>
      <c r="N76" s="389"/>
    </row>
    <row r="77" spans="1:16">
      <c r="A77" s="36"/>
      <c r="B77" s="811" t="s">
        <v>217</v>
      </c>
      <c r="C77" s="161" t="str">
        <f>'RFPR cover'!$C$14</f>
        <v>£m 12/13</v>
      </c>
      <c r="D77" s="686">
        <f>INDEX(Data!$C$119:$L$146,MATCH('RFPR cover'!$C$5,Data!$B$119:$B$146,0),MATCH('R4 - Totex'!D$6,Data!$C$118:$L$118,0))</f>
        <v>-1.8633532543800757</v>
      </c>
      <c r="E77" s="687">
        <f>INDEX(Data!$C$119:$L$146,MATCH('RFPR cover'!$C$5,Data!$B$119:$B$146,0),MATCH('R4 - Totex'!E$6,Data!$C$118:$L$118,0))</f>
        <v>-1.8182980405067262</v>
      </c>
      <c r="F77" s="687">
        <f>INDEX(Data!$C$119:$L$146,MATCH('RFPR cover'!$C$5,Data!$B$119:$B$146,0),MATCH('R4 - Totex'!F$6,Data!$C$118:$L$118,0))</f>
        <v>-1.83946756302578</v>
      </c>
      <c r="G77" s="687">
        <f>INDEX(Data!$C$119:$L$146,MATCH('RFPR cover'!$C$5,Data!$B$119:$B$146,0),MATCH('R4 - Totex'!G$6,Data!$C$118:$L$118,0))</f>
        <v>-1.7415973428180247</v>
      </c>
      <c r="H77" s="687">
        <f>INDEX(Data!$C$119:$L$146,MATCH('RFPR cover'!$C$5,Data!$B$119:$B$146,0),MATCH('R4 - Totex'!H$6,Data!$C$118:$L$118,0))</f>
        <v>-1.6798002111470465</v>
      </c>
      <c r="I77" s="687">
        <f>INDEX(Data!$C$119:$L$146,MATCH('RFPR cover'!$C$5,Data!$B$119:$B$146,0),MATCH('R4 - Totex'!I$6,Data!$C$118:$L$118,0))</f>
        <v>-1.5974456358596774</v>
      </c>
      <c r="J77" s="687">
        <f>INDEX(Data!$C$119:$L$146,MATCH('RFPR cover'!$C$5,Data!$B$119:$B$146,0),MATCH('R4 - Totex'!J$6,Data!$C$118:$L$118,0))</f>
        <v>-1.5016396120831343</v>
      </c>
      <c r="K77" s="688">
        <f>INDEX(Data!$C$119:$L$146,MATCH('RFPR cover'!$C$5,Data!$B$119:$B$146,0),MATCH('R4 - Totex'!K$6,Data!$C$118:$L$118,0))</f>
        <v>-1.4453638876860204</v>
      </c>
      <c r="L77" s="98">
        <f>SUM(D77:INDEX(D77:K77,0,MATCH('RFPR cover'!$C$7,$D$6:$K$6,0)))</f>
        <v>-7.2627162007306065</v>
      </c>
      <c r="M77" s="100">
        <f>SUM(D77:K77)</f>
        <v>-13.486965547506486</v>
      </c>
    </row>
    <row r="78" spans="1:16">
      <c r="A78" s="36"/>
      <c r="B78" s="231" t="s">
        <v>201</v>
      </c>
      <c r="C78" s="161" t="s">
        <v>7</v>
      </c>
      <c r="D78" s="918" t="str">
        <f>IF(INDEX(Data!$J$73:$J$100,MATCH('RFPR cover'!$C$5,Data!$B$73:$B$100,0),0)="Pre",INDEX(Data!$G$18:$G$27,MATCH('R4 - Totex'!D$6,Data!$C$18:$C$27,0),0),"n/a")</f>
        <v>n/a</v>
      </c>
      <c r="E78" s="918" t="str">
        <f>IF(INDEX(Data!$J$73:$J$100,MATCH('RFPR cover'!$C$5,Data!$B$73:$B$100,0),0)="Pre",INDEX(Data!$G$18:$G$27,MATCH('R4 - Totex'!E$6,Data!$C$18:$C$27,0),0),"n/a")</f>
        <v>n/a</v>
      </c>
      <c r="F78" s="918" t="str">
        <f>IF(INDEX(Data!$J$73:$J$100,MATCH('RFPR cover'!$C$5,Data!$B$73:$B$100,0),0)="Pre",INDEX(Data!$G$18:$G$27,MATCH('R4 - Totex'!F$6,Data!$C$18:$C$27,0),0),"n/a")</f>
        <v>n/a</v>
      </c>
      <c r="G78" s="918" t="str">
        <f>IF(INDEX(Data!$J$73:$J$100,MATCH('RFPR cover'!$C$5,Data!$B$73:$B$100,0),0)="Pre",INDEX(Data!$G$18:$G$27,MATCH('R4 - Totex'!G$6,Data!$C$18:$C$27,0),0),"n/a")</f>
        <v>n/a</v>
      </c>
      <c r="H78" s="918" t="str">
        <f>IF(INDEX(Data!$J$73:$J$100,MATCH('RFPR cover'!$C$5,Data!$B$73:$B$100,0),0)="Pre",INDEX(Data!$G$18:$G$27,MATCH('R4 - Totex'!H$6,Data!$C$18:$C$27,0),0),"n/a")</f>
        <v>n/a</v>
      </c>
      <c r="I78" s="918" t="str">
        <f>IF(INDEX(Data!$J$73:$J$100,MATCH('RFPR cover'!$C$5,Data!$B$73:$B$100,0),0)="Pre",INDEX(Data!$G$18:$G$27,MATCH('R4 - Totex'!I$6,Data!$C$18:$C$27,0),0),"n/a")</f>
        <v>n/a</v>
      </c>
      <c r="J78" s="918" t="str">
        <f>IF(INDEX(Data!$J$73:$J$100,MATCH('RFPR cover'!$C$5,Data!$B$73:$B$100,0),0)="Pre",INDEX(Data!$G$18:$G$27,MATCH('R4 - Totex'!J$6,Data!$C$18:$C$27,0),0),"n/a")</f>
        <v>n/a</v>
      </c>
      <c r="K78" s="918" t="str">
        <f>IF(INDEX(Data!$J$73:$J$100,MATCH('RFPR cover'!$C$5,Data!$B$73:$B$100,0),0)="Pre",INDEX(Data!$G$18:$G$27,MATCH('R4 - Totex'!K$6,Data!$C$18:$C$27,0),0),"n/a")</f>
        <v>n/a</v>
      </c>
      <c r="L78" s="916"/>
      <c r="M78" s="917"/>
    </row>
    <row r="79" spans="1:16">
      <c r="A79" s="36"/>
      <c r="B79" s="231" t="s">
        <v>210</v>
      </c>
      <c r="C79" s="161" t="str">
        <f>'RFPR cover'!$C$14</f>
        <v>£m 12/13</v>
      </c>
      <c r="D79" s="634">
        <f>IF(ISNUMBER(D78),D77*(1-D78),D77)</f>
        <v>-1.8633532543800757</v>
      </c>
      <c r="E79" s="635">
        <f t="shared" ref="E79:K79" si="24">IF(ISNUMBER(E78),E77*(1-E78),E77)</f>
        <v>-1.8182980405067262</v>
      </c>
      <c r="F79" s="635">
        <f t="shared" si="24"/>
        <v>-1.83946756302578</v>
      </c>
      <c r="G79" s="635">
        <f t="shared" si="24"/>
        <v>-1.7415973428180247</v>
      </c>
      <c r="H79" s="635">
        <f t="shared" si="24"/>
        <v>-1.6798002111470465</v>
      </c>
      <c r="I79" s="635">
        <f t="shared" si="24"/>
        <v>-1.5974456358596774</v>
      </c>
      <c r="J79" s="635">
        <f t="shared" si="24"/>
        <v>-1.5016396120831343</v>
      </c>
      <c r="K79" s="636">
        <f t="shared" si="24"/>
        <v>-1.4453638876860204</v>
      </c>
      <c r="L79" s="692">
        <f>SUM(D79:INDEX(D79:K79,0,MATCH('RFPR cover'!$C$7,$D$6:$K$6,0)))</f>
        <v>-7.2627162007306065</v>
      </c>
      <c r="M79" s="693">
        <f>SUM(D79:K79)</f>
        <v>-13.486965547506486</v>
      </c>
    </row>
    <row r="80" spans="1:16">
      <c r="A80" s="36"/>
      <c r="B80" s="231"/>
      <c r="C80" s="65"/>
      <c r="D80" s="293"/>
      <c r="E80" s="293"/>
      <c r="F80" s="293"/>
      <c r="G80" s="293"/>
      <c r="H80" s="293"/>
      <c r="I80" s="293"/>
      <c r="J80" s="293"/>
      <c r="K80" s="293"/>
      <c r="L80" s="294"/>
      <c r="M80" s="294"/>
    </row>
    <row r="81" spans="1:16">
      <c r="A81" s="36"/>
      <c r="B81" s="231"/>
      <c r="C81" s="65"/>
      <c r="D81" s="293"/>
      <c r="E81" s="293"/>
      <c r="F81" s="293"/>
      <c r="G81" s="293"/>
      <c r="H81" s="293"/>
      <c r="I81" s="293"/>
      <c r="J81" s="293"/>
      <c r="K81" s="293"/>
      <c r="L81" s="294"/>
      <c r="M81" s="294"/>
    </row>
    <row r="82" spans="1:16">
      <c r="A82" s="36"/>
      <c r="B82" s="231"/>
      <c r="C82" s="65"/>
      <c r="D82" s="293"/>
      <c r="E82" s="293"/>
      <c r="F82" s="293"/>
      <c r="G82" s="293"/>
      <c r="H82" s="293"/>
      <c r="I82" s="293"/>
      <c r="J82" s="293"/>
      <c r="K82" s="293"/>
      <c r="L82" s="294"/>
      <c r="M82" s="294"/>
    </row>
    <row r="83" spans="1:16">
      <c r="A83" s="36"/>
      <c r="B83" s="804"/>
    </row>
    <row r="84" spans="1:16">
      <c r="A84" s="36"/>
      <c r="B84" s="806" t="s">
        <v>187</v>
      </c>
      <c r="C84" s="302"/>
      <c r="D84" s="304"/>
      <c r="E84" s="304"/>
      <c r="F84" s="304"/>
      <c r="G84" s="304"/>
      <c r="H84" s="304"/>
      <c r="I84" s="304"/>
      <c r="J84" s="304"/>
      <c r="K84" s="304"/>
      <c r="L84" s="304"/>
      <c r="M84" s="304"/>
      <c r="N84" s="304"/>
    </row>
    <row r="85" spans="1:16">
      <c r="A85" s="36"/>
      <c r="B85" s="812"/>
    </row>
    <row r="86" spans="1:16">
      <c r="A86" s="36"/>
      <c r="B86" s="811" t="str">
        <f>Data!B34</f>
        <v>Financial Year Average RPI (RPIt)</v>
      </c>
      <c r="C86" s="142" t="s">
        <v>127</v>
      </c>
      <c r="D86" s="112">
        <f>Data!C$34</f>
        <v>1.0603167467048125</v>
      </c>
      <c r="E86" s="113">
        <f>Data!D$34</f>
        <v>1.0830366813119445</v>
      </c>
      <c r="F86" s="113">
        <f>Data!E$34</f>
        <v>1.1235639113109226</v>
      </c>
      <c r="G86" s="113">
        <f>Data!F$34</f>
        <v>1.1578951670583426</v>
      </c>
      <c r="H86" s="113">
        <f>Data!G$34</f>
        <v>1.1882899151936241</v>
      </c>
      <c r="I86" s="113">
        <f>Data!H$34</f>
        <v>1.2212649603402472</v>
      </c>
      <c r="J86" s="113">
        <f>Data!I$34</f>
        <v>1.2582082253905398</v>
      </c>
      <c r="K86" s="114">
        <f>Data!J$34</f>
        <v>1.296898128321299</v>
      </c>
    </row>
    <row r="87" spans="1:16">
      <c r="A87" s="36"/>
      <c r="B87" s="811"/>
      <c r="D87" s="142"/>
      <c r="E87" s="142"/>
      <c r="F87" s="142"/>
      <c r="G87" s="142"/>
      <c r="H87" s="142"/>
      <c r="I87" s="142"/>
      <c r="J87" s="142"/>
      <c r="K87" s="142"/>
    </row>
    <row r="88" spans="1:16">
      <c r="A88" s="36"/>
      <c r="B88" s="807" t="str">
        <f>B10</f>
        <v>Totex</v>
      </c>
      <c r="C88" s="156"/>
      <c r="D88" s="81"/>
      <c r="E88" s="81"/>
      <c r="F88" s="81"/>
      <c r="G88" s="81"/>
      <c r="H88" s="81"/>
      <c r="I88" s="81"/>
      <c r="J88" s="81"/>
      <c r="K88" s="81"/>
      <c r="L88" s="81"/>
      <c r="M88" s="81"/>
      <c r="N88" s="81"/>
    </row>
    <row r="89" spans="1:16" s="36" customFormat="1">
      <c r="B89" s="808"/>
      <c r="C89" s="144"/>
      <c r="D89" s="335"/>
      <c r="E89" s="335"/>
      <c r="F89" s="335"/>
      <c r="G89" s="335"/>
      <c r="H89" s="335"/>
      <c r="I89" s="335"/>
      <c r="J89" s="335"/>
      <c r="K89" s="335"/>
      <c r="L89" s="335"/>
      <c r="M89" s="335"/>
      <c r="N89" s="335"/>
    </row>
    <row r="90" spans="1:16">
      <c r="A90" s="36"/>
      <c r="B90" s="320" t="s">
        <v>34</v>
      </c>
      <c r="C90" s="161" t="s">
        <v>128</v>
      </c>
      <c r="D90" s="695">
        <f t="shared" ref="D90:K91" si="25">D12*D$86</f>
        <v>192.97072315738123</v>
      </c>
      <c r="E90" s="695">
        <f t="shared" si="25"/>
        <v>212.53390837898672</v>
      </c>
      <c r="F90" s="695">
        <f t="shared" si="25"/>
        <v>224.48655142928473</v>
      </c>
      <c r="G90" s="695">
        <f t="shared" si="25"/>
        <v>255.12895312023318</v>
      </c>
      <c r="H90" s="695">
        <f t="shared" si="25"/>
        <v>243.45942388221155</v>
      </c>
      <c r="I90" s="695">
        <f t="shared" si="25"/>
        <v>237.98509481386603</v>
      </c>
      <c r="J90" s="695">
        <f t="shared" si="25"/>
        <v>215.56481864061354</v>
      </c>
      <c r="K90" s="695">
        <f t="shared" si="25"/>
        <v>216.03209891523124</v>
      </c>
      <c r="L90" s="694">
        <f>SUM(D90:INDEX(D90:K90,0,MATCH('RFPR cover'!$C$7,$D$6:$K$6,0)))</f>
        <v>885.12013608588586</v>
      </c>
      <c r="M90" s="695">
        <f>SUM(D90:K90)</f>
        <v>1798.1615723378081</v>
      </c>
      <c r="N90" s="63"/>
      <c r="O90" s="63"/>
    </row>
    <row r="91" spans="1:16" ht="25.5">
      <c r="A91" s="36"/>
      <c r="B91" s="809" t="s">
        <v>197</v>
      </c>
      <c r="C91" s="161" t="s">
        <v>128</v>
      </c>
      <c r="D91" s="695">
        <f t="shared" si="25"/>
        <v>217.44923447319576</v>
      </c>
      <c r="E91" s="695">
        <f t="shared" si="25"/>
        <v>220.83394050296678</v>
      </c>
      <c r="F91" s="695">
        <f t="shared" si="25"/>
        <v>234.39765187211606</v>
      </c>
      <c r="G91" s="695">
        <f t="shared" si="25"/>
        <v>229.46299262487068</v>
      </c>
      <c r="H91" s="695">
        <f t="shared" si="25"/>
        <v>230.54084322461441</v>
      </c>
      <c r="I91" s="695">
        <f t="shared" si="25"/>
        <v>224.16181224158498</v>
      </c>
      <c r="J91" s="695">
        <f t="shared" si="25"/>
        <v>218.88155257674521</v>
      </c>
      <c r="K91" s="695">
        <f t="shared" si="25"/>
        <v>218.7906551969171</v>
      </c>
      <c r="L91" s="696">
        <f>SUM(D91:INDEX(D91:K91,0,MATCH('RFPR cover'!$C$7,$D$6:$K$6,0)))</f>
        <v>902.14381947314928</v>
      </c>
      <c r="M91" s="697">
        <f>SUM(D91:K91)</f>
        <v>1794.518682713011</v>
      </c>
      <c r="N91" s="63"/>
      <c r="O91" s="63"/>
    </row>
    <row r="92" spans="1:16">
      <c r="A92" s="36"/>
      <c r="B92" s="810" t="s">
        <v>195</v>
      </c>
      <c r="C92" s="161" t="s">
        <v>128</v>
      </c>
      <c r="D92" s="102">
        <f>D91-D90</f>
        <v>24.478511315814529</v>
      </c>
      <c r="E92" s="103">
        <f t="shared" ref="E92:M92" si="26">E91-E90</f>
        <v>8.3000321239800599</v>
      </c>
      <c r="F92" s="103">
        <f t="shared" si="26"/>
        <v>9.9111004428313265</v>
      </c>
      <c r="G92" s="103">
        <f t="shared" si="26"/>
        <v>-25.665960495362498</v>
      </c>
      <c r="H92" s="103">
        <f t="shared" si="26"/>
        <v>-12.918580657597147</v>
      </c>
      <c r="I92" s="103">
        <f t="shared" si="26"/>
        <v>-13.823282572281045</v>
      </c>
      <c r="J92" s="103">
        <f t="shared" si="26"/>
        <v>3.3167339361316692</v>
      </c>
      <c r="K92" s="104">
        <f t="shared" si="26"/>
        <v>2.7585562816858555</v>
      </c>
      <c r="L92" s="102">
        <f t="shared" si="26"/>
        <v>17.023683387263418</v>
      </c>
      <c r="M92" s="104">
        <f t="shared" si="26"/>
        <v>-3.6428896247971352</v>
      </c>
      <c r="N92" s="63"/>
      <c r="O92" s="991"/>
      <c r="P92" s="991"/>
    </row>
    <row r="93" spans="1:16">
      <c r="A93" s="36"/>
      <c r="B93" s="810"/>
      <c r="C93" s="161"/>
      <c r="D93" s="59"/>
      <c r="E93" s="59"/>
      <c r="F93" s="59"/>
      <c r="G93" s="59"/>
      <c r="H93" s="59"/>
      <c r="I93" s="59"/>
      <c r="J93" s="59"/>
      <c r="K93" s="59"/>
      <c r="L93" s="59"/>
      <c r="M93" s="59"/>
      <c r="O93" s="64"/>
      <c r="P93" s="64"/>
    </row>
    <row r="94" spans="1:16">
      <c r="A94" s="36"/>
      <c r="B94" s="804" t="s">
        <v>178</v>
      </c>
      <c r="C94" s="142" t="s">
        <v>7</v>
      </c>
      <c r="D94" s="109">
        <f>1-INDEX(Data!$D$73:$D$100,MATCH('RFPR cover'!$C$5,Data!$B$73:$B$100,0),0)</f>
        <v>0.46499999999999997</v>
      </c>
      <c r="E94" s="110">
        <f>1-INDEX(Data!$D$73:$D$100,MATCH('RFPR cover'!$C$5,Data!$B$73:$B$100,0),0)</f>
        <v>0.46499999999999997</v>
      </c>
      <c r="F94" s="110">
        <f>1-INDEX(Data!$D$73:$D$100,MATCH('RFPR cover'!$C$5,Data!$B$73:$B$100,0),0)</f>
        <v>0.46499999999999997</v>
      </c>
      <c r="G94" s="110">
        <f>1-INDEX(Data!$D$73:$D$100,MATCH('RFPR cover'!$C$5,Data!$B$73:$B$100,0),0)</f>
        <v>0.46499999999999997</v>
      </c>
      <c r="H94" s="110">
        <f>1-INDEX(Data!$D$73:$D$100,MATCH('RFPR cover'!$C$5,Data!$B$73:$B$100,0),0)</f>
        <v>0.46499999999999997</v>
      </c>
      <c r="I94" s="110">
        <f>1-INDEX(Data!$D$73:$D$100,MATCH('RFPR cover'!$C$5,Data!$B$73:$B$100,0),0)</f>
        <v>0.46499999999999997</v>
      </c>
      <c r="J94" s="110">
        <f>1-INDEX(Data!$D$73:$D$100,MATCH('RFPR cover'!$C$5,Data!$B$73:$B$100,0),0)</f>
        <v>0.46499999999999997</v>
      </c>
      <c r="K94" s="111">
        <f>1-INDEX(Data!$D$73:$D$100,MATCH('RFPR cover'!$C$5,Data!$B$73:$B$100,0),0)</f>
        <v>0.46499999999999997</v>
      </c>
      <c r="L94" s="62"/>
      <c r="M94" s="62"/>
      <c r="O94"/>
      <c r="P94"/>
    </row>
    <row r="95" spans="1:16">
      <c r="A95" s="36"/>
      <c r="B95" s="804"/>
      <c r="O95"/>
      <c r="P95"/>
    </row>
    <row r="96" spans="1:16">
      <c r="A96" s="36"/>
      <c r="B96" s="811" t="s">
        <v>183</v>
      </c>
      <c r="C96" s="161" t="s">
        <v>128</v>
      </c>
      <c r="D96" s="95">
        <f>D92*D94</f>
        <v>11.382507761853756</v>
      </c>
      <c r="E96" s="96">
        <f t="shared" ref="E96:K96" si="27">E92*E94</f>
        <v>3.8595149376507276</v>
      </c>
      <c r="F96" s="96">
        <f t="shared" si="27"/>
        <v>4.6086617059165667</v>
      </c>
      <c r="G96" s="96">
        <f t="shared" si="27"/>
        <v>-11.93467163034356</v>
      </c>
      <c r="H96" s="96">
        <f t="shared" si="27"/>
        <v>-6.0071400057826727</v>
      </c>
      <c r="I96" s="96">
        <f t="shared" si="27"/>
        <v>-6.4278263961106852</v>
      </c>
      <c r="J96" s="96">
        <f t="shared" si="27"/>
        <v>1.542281280301226</v>
      </c>
      <c r="K96" s="96">
        <f t="shared" si="27"/>
        <v>1.2827286709839227</v>
      </c>
      <c r="L96" s="95">
        <f>SUM(D96:INDEX(D96:K96,0,MATCH('RFPR cover'!$C$7,$D$6:$K$6,0)))</f>
        <v>7.9160127750774887</v>
      </c>
      <c r="M96" s="97">
        <f>SUM(D96:K96)</f>
        <v>-1.6939436755307207</v>
      </c>
      <c r="O96"/>
      <c r="P96"/>
    </row>
    <row r="97" spans="1:16">
      <c r="A97" s="36"/>
      <c r="B97" s="811" t="s">
        <v>280</v>
      </c>
      <c r="C97" s="161" t="s">
        <v>128</v>
      </c>
      <c r="D97" s="92">
        <f>D92*(1-D94)</f>
        <v>13.096003553960774</v>
      </c>
      <c r="E97" s="93">
        <f t="shared" ref="E97:K97" si="28">E92*(1-E94)</f>
        <v>4.4405171863293322</v>
      </c>
      <c r="F97" s="93">
        <f t="shared" si="28"/>
        <v>5.3024387369147599</v>
      </c>
      <c r="G97" s="93">
        <f t="shared" si="28"/>
        <v>-13.731288865018938</v>
      </c>
      <c r="H97" s="93">
        <f t="shared" si="28"/>
        <v>-6.9114406518144742</v>
      </c>
      <c r="I97" s="93">
        <f t="shared" si="28"/>
        <v>-7.3954561761703594</v>
      </c>
      <c r="J97" s="93">
        <f t="shared" si="28"/>
        <v>1.7744526558304432</v>
      </c>
      <c r="K97" s="93">
        <f t="shared" si="28"/>
        <v>1.4758276107019328</v>
      </c>
      <c r="L97" s="92">
        <f>SUM(D97:INDEX(D97:K97,0,MATCH('RFPR cover'!$C$7,$D$6:$K$6,0)))</f>
        <v>9.1076706121859292</v>
      </c>
      <c r="M97" s="94">
        <f>SUM(D97:K97)</f>
        <v>-1.9489459492665282</v>
      </c>
      <c r="O97"/>
      <c r="P97"/>
    </row>
    <row r="98" spans="1:16">
      <c r="A98" s="36"/>
      <c r="B98" s="804"/>
      <c r="O98"/>
      <c r="P98"/>
    </row>
    <row r="99" spans="1:16">
      <c r="A99" s="36"/>
      <c r="B99" s="812" t="s">
        <v>182</v>
      </c>
      <c r="N99" s="63"/>
      <c r="O99"/>
      <c r="P99"/>
    </row>
    <row r="100" spans="1:16">
      <c r="A100" s="279" t="s">
        <v>151</v>
      </c>
      <c r="B100" s="231" t="str">
        <f t="shared" ref="B100:B105" si="29">B22</f>
        <v>Timing differences of delivery of outputs</v>
      </c>
      <c r="C100" s="161" t="s">
        <v>128</v>
      </c>
      <c r="D100" s="616">
        <f t="shared" ref="D100:K105" si="30">D22*D$86</f>
        <v>-24.478511315814536</v>
      </c>
      <c r="E100" s="616">
        <f t="shared" si="30"/>
        <v>-8.3000321239800616</v>
      </c>
      <c r="F100" s="616">
        <f t="shared" si="30"/>
        <v>-9.911100442831323</v>
      </c>
      <c r="G100" s="616">
        <f t="shared" si="30"/>
        <v>25.665960495362501</v>
      </c>
      <c r="H100" s="616">
        <f t="shared" si="30"/>
        <v>12.91858065759714</v>
      </c>
      <c r="I100" s="616">
        <f t="shared" si="30"/>
        <v>13.823282572281054</v>
      </c>
      <c r="J100" s="616">
        <f t="shared" si="30"/>
        <v>-3.3167339361316439</v>
      </c>
      <c r="K100" s="616">
        <f t="shared" si="30"/>
        <v>-2.7585562816858666</v>
      </c>
      <c r="L100" s="608">
        <f>SUM(D100:INDEX(D100:K100,0,MATCH('RFPR cover'!$C$7,$D$6:$K$6,0)))</f>
        <v>-17.023683387263414</v>
      </c>
      <c r="M100" s="609">
        <f t="shared" ref="M100:M106" si="31">SUM(D100:K100)</f>
        <v>3.642889624797268</v>
      </c>
      <c r="N100" s="63"/>
      <c r="O100"/>
      <c r="P100"/>
    </row>
    <row r="101" spans="1:16">
      <c r="A101" s="279" t="s">
        <v>152</v>
      </c>
      <c r="B101" s="231" t="str">
        <f t="shared" si="29"/>
        <v>[Enduring Value adjustment]</v>
      </c>
      <c r="C101" s="161" t="s">
        <v>128</v>
      </c>
      <c r="D101" s="616">
        <f t="shared" si="30"/>
        <v>0</v>
      </c>
      <c r="E101" s="616">
        <f t="shared" si="30"/>
        <v>0</v>
      </c>
      <c r="F101" s="616">
        <f t="shared" si="30"/>
        <v>0</v>
      </c>
      <c r="G101" s="616">
        <f t="shared" si="30"/>
        <v>0</v>
      </c>
      <c r="H101" s="616">
        <f t="shared" si="30"/>
        <v>0</v>
      </c>
      <c r="I101" s="616">
        <f t="shared" si="30"/>
        <v>0</v>
      </c>
      <c r="J101" s="616">
        <f t="shared" si="30"/>
        <v>0</v>
      </c>
      <c r="K101" s="616">
        <f t="shared" si="30"/>
        <v>0</v>
      </c>
      <c r="L101" s="612">
        <f>SUM(D101:INDEX(D101:K101,0,MATCH('RFPR cover'!$C$7,$D$6:$K$6,0)))</f>
        <v>0</v>
      </c>
      <c r="M101" s="613">
        <f t="shared" si="31"/>
        <v>0</v>
      </c>
      <c r="N101" s="63"/>
      <c r="O101"/>
      <c r="P101"/>
    </row>
    <row r="102" spans="1:16">
      <c r="A102" s="279" t="s">
        <v>153</v>
      </c>
      <c r="B102" s="231" t="str">
        <f t="shared" si="29"/>
        <v>[Enduring Value adjustment]</v>
      </c>
      <c r="C102" s="161" t="s">
        <v>128</v>
      </c>
      <c r="D102" s="616">
        <f t="shared" si="30"/>
        <v>0</v>
      </c>
      <c r="E102" s="616">
        <f t="shared" si="30"/>
        <v>0</v>
      </c>
      <c r="F102" s="616">
        <f t="shared" si="30"/>
        <v>0</v>
      </c>
      <c r="G102" s="616">
        <f t="shared" si="30"/>
        <v>0</v>
      </c>
      <c r="H102" s="616">
        <f t="shared" si="30"/>
        <v>0</v>
      </c>
      <c r="I102" s="616">
        <f t="shared" si="30"/>
        <v>0</v>
      </c>
      <c r="J102" s="616">
        <f t="shared" si="30"/>
        <v>0</v>
      </c>
      <c r="K102" s="616">
        <f t="shared" si="30"/>
        <v>0</v>
      </c>
      <c r="L102" s="612">
        <f>SUM(D102:INDEX(D102:K102,0,MATCH('RFPR cover'!$C$7,$D$6:$K$6,0)))</f>
        <v>0</v>
      </c>
      <c r="M102" s="613">
        <f t="shared" si="31"/>
        <v>0</v>
      </c>
      <c r="N102" s="63"/>
      <c r="O102"/>
      <c r="P102"/>
    </row>
    <row r="103" spans="1:16">
      <c r="A103" s="279" t="s">
        <v>168</v>
      </c>
      <c r="B103" s="231" t="str">
        <f t="shared" si="29"/>
        <v>[Enduring Value adjustment]</v>
      </c>
      <c r="C103" s="161" t="s">
        <v>128</v>
      </c>
      <c r="D103" s="616">
        <f t="shared" si="30"/>
        <v>0</v>
      </c>
      <c r="E103" s="616">
        <f t="shared" si="30"/>
        <v>0</v>
      </c>
      <c r="F103" s="616">
        <f t="shared" si="30"/>
        <v>0</v>
      </c>
      <c r="G103" s="616">
        <f t="shared" si="30"/>
        <v>0</v>
      </c>
      <c r="H103" s="616">
        <f t="shared" si="30"/>
        <v>0</v>
      </c>
      <c r="I103" s="616">
        <f t="shared" si="30"/>
        <v>0</v>
      </c>
      <c r="J103" s="616">
        <f t="shared" si="30"/>
        <v>0</v>
      </c>
      <c r="K103" s="616">
        <f t="shared" si="30"/>
        <v>0</v>
      </c>
      <c r="L103" s="612">
        <f>SUM(D103:INDEX(D103:K103,0,MATCH('RFPR cover'!$C$7,$D$6:$K$6,0)))</f>
        <v>0</v>
      </c>
      <c r="M103" s="613">
        <f t="shared" si="31"/>
        <v>0</v>
      </c>
      <c r="N103" s="63"/>
      <c r="O103"/>
      <c r="P103"/>
    </row>
    <row r="104" spans="1:16">
      <c r="A104" s="279" t="s">
        <v>169</v>
      </c>
      <c r="B104" s="231" t="str">
        <f t="shared" si="29"/>
        <v>[Enduring Value adjustment]</v>
      </c>
      <c r="C104" s="161" t="s">
        <v>128</v>
      </c>
      <c r="D104" s="616">
        <f t="shared" si="30"/>
        <v>0</v>
      </c>
      <c r="E104" s="616">
        <f t="shared" si="30"/>
        <v>0</v>
      </c>
      <c r="F104" s="616">
        <f t="shared" si="30"/>
        <v>0</v>
      </c>
      <c r="G104" s="616">
        <f t="shared" si="30"/>
        <v>0</v>
      </c>
      <c r="H104" s="616">
        <f t="shared" si="30"/>
        <v>0</v>
      </c>
      <c r="I104" s="616">
        <f t="shared" si="30"/>
        <v>0</v>
      </c>
      <c r="J104" s="616">
        <f t="shared" si="30"/>
        <v>0</v>
      </c>
      <c r="K104" s="616">
        <f t="shared" si="30"/>
        <v>0</v>
      </c>
      <c r="L104" s="612">
        <f>SUM(D104:INDEX(D104:K104,0,MATCH('RFPR cover'!$C$7,$D$6:$K$6,0)))</f>
        <v>0</v>
      </c>
      <c r="M104" s="613">
        <f t="shared" si="31"/>
        <v>0</v>
      </c>
      <c r="N104" s="63"/>
      <c r="O104"/>
      <c r="P104"/>
    </row>
    <row r="105" spans="1:16">
      <c r="A105" s="279" t="s">
        <v>170</v>
      </c>
      <c r="B105" s="231" t="str">
        <f t="shared" si="29"/>
        <v>[Enduring Value adjustment]</v>
      </c>
      <c r="C105" s="161" t="s">
        <v>128</v>
      </c>
      <c r="D105" s="616">
        <f t="shared" si="30"/>
        <v>0</v>
      </c>
      <c r="E105" s="616">
        <f t="shared" si="30"/>
        <v>0</v>
      </c>
      <c r="F105" s="616">
        <f t="shared" si="30"/>
        <v>0</v>
      </c>
      <c r="G105" s="616">
        <f t="shared" si="30"/>
        <v>0</v>
      </c>
      <c r="H105" s="616">
        <f t="shared" si="30"/>
        <v>0</v>
      </c>
      <c r="I105" s="616">
        <f t="shared" si="30"/>
        <v>0</v>
      </c>
      <c r="J105" s="616">
        <f t="shared" si="30"/>
        <v>0</v>
      </c>
      <c r="K105" s="616">
        <f t="shared" si="30"/>
        <v>0</v>
      </c>
      <c r="L105" s="616">
        <f>SUM(D105:INDEX(D105:K105,0,MATCH('RFPR cover'!$C$7,$D$6:$K$6,0)))</f>
        <v>0</v>
      </c>
      <c r="M105" s="617">
        <f t="shared" si="31"/>
        <v>0</v>
      </c>
      <c r="N105" s="63"/>
      <c r="O105"/>
      <c r="P105"/>
    </row>
    <row r="106" spans="1:16">
      <c r="A106" s="36"/>
      <c r="B106" s="812" t="s">
        <v>190</v>
      </c>
      <c r="C106" s="161" t="s">
        <v>128</v>
      </c>
      <c r="D106" s="102">
        <f>SUM(D100:D105)</f>
        <v>-24.478511315814536</v>
      </c>
      <c r="E106" s="103">
        <f t="shared" ref="E106:K106" si="32">SUM(E100:E105)</f>
        <v>-8.3000321239800616</v>
      </c>
      <c r="F106" s="103">
        <f t="shared" si="32"/>
        <v>-9.911100442831323</v>
      </c>
      <c r="G106" s="103">
        <f t="shared" si="32"/>
        <v>25.665960495362501</v>
      </c>
      <c r="H106" s="103">
        <f t="shared" si="32"/>
        <v>12.91858065759714</v>
      </c>
      <c r="I106" s="103">
        <f t="shared" si="32"/>
        <v>13.823282572281054</v>
      </c>
      <c r="J106" s="103">
        <f t="shared" si="32"/>
        <v>-3.3167339361316439</v>
      </c>
      <c r="K106" s="104">
        <f t="shared" si="32"/>
        <v>-2.7585562816858666</v>
      </c>
      <c r="L106" s="102">
        <f>SUM(D106:INDEX(D106:K106,0,MATCH('RFPR cover'!$C$7,$D$6:$K$6,0)))</f>
        <v>-17.023683387263414</v>
      </c>
      <c r="M106" s="104">
        <f t="shared" si="31"/>
        <v>3.642889624797268</v>
      </c>
      <c r="N106" s="63"/>
    </row>
    <row r="107" spans="1:16">
      <c r="A107" s="36"/>
      <c r="B107" s="804"/>
    </row>
    <row r="108" spans="1:16">
      <c r="A108" s="36"/>
      <c r="B108" s="811" t="s">
        <v>198</v>
      </c>
      <c r="C108" s="161" t="s">
        <v>128</v>
      </c>
      <c r="D108" s="95">
        <f t="shared" ref="D108:K108" si="33">D106*D94</f>
        <v>-11.382507761853759</v>
      </c>
      <c r="E108" s="96">
        <f t="shared" si="33"/>
        <v>-3.8595149376507285</v>
      </c>
      <c r="F108" s="96">
        <f t="shared" si="33"/>
        <v>-4.6086617059165649</v>
      </c>
      <c r="G108" s="96">
        <f t="shared" si="33"/>
        <v>11.934671630343562</v>
      </c>
      <c r="H108" s="96">
        <f t="shared" si="33"/>
        <v>6.00714000578267</v>
      </c>
      <c r="I108" s="96">
        <f t="shared" si="33"/>
        <v>6.4278263961106896</v>
      </c>
      <c r="J108" s="96">
        <f t="shared" si="33"/>
        <v>-1.5422812803012143</v>
      </c>
      <c r="K108" s="96">
        <f t="shared" si="33"/>
        <v>-1.2827286709839278</v>
      </c>
      <c r="L108" s="95">
        <f>SUM(D108:INDEX(D108:K108,0,MATCH('RFPR cover'!$C$7,$D$6:$K$6,0)))</f>
        <v>-7.9160127750774905</v>
      </c>
      <c r="M108" s="97">
        <f>SUM(D108:K108)</f>
        <v>1.6939436755307271</v>
      </c>
    </row>
    <row r="109" spans="1:16">
      <c r="A109" s="36"/>
      <c r="B109" s="811" t="s">
        <v>310</v>
      </c>
      <c r="C109" s="161" t="s">
        <v>128</v>
      </c>
      <c r="D109" s="92">
        <f t="shared" ref="D109:K109" si="34">D106*(1-D94)</f>
        <v>-13.096003553960777</v>
      </c>
      <c r="E109" s="93">
        <f t="shared" si="34"/>
        <v>-4.4405171863293331</v>
      </c>
      <c r="F109" s="93">
        <f t="shared" si="34"/>
        <v>-5.3024387369147581</v>
      </c>
      <c r="G109" s="93">
        <f t="shared" si="34"/>
        <v>13.731288865018939</v>
      </c>
      <c r="H109" s="93">
        <f t="shared" si="34"/>
        <v>6.9114406518144698</v>
      </c>
      <c r="I109" s="93">
        <f t="shared" si="34"/>
        <v>7.3954561761703639</v>
      </c>
      <c r="J109" s="93">
        <f t="shared" si="34"/>
        <v>-1.7744526558304297</v>
      </c>
      <c r="K109" s="93">
        <f t="shared" si="34"/>
        <v>-1.4758276107019388</v>
      </c>
      <c r="L109" s="92">
        <f>SUM(D109:INDEX(D109:K109,0,MATCH('RFPR cover'!$C$7,$D$6:$K$6,0)))</f>
        <v>-9.107670612185931</v>
      </c>
      <c r="M109" s="94">
        <f>SUM(D109:K109)</f>
        <v>1.9489459492665342</v>
      </c>
    </row>
    <row r="110" spans="1:16">
      <c r="A110" s="36"/>
      <c r="B110" s="804"/>
    </row>
    <row r="111" spans="1:16">
      <c r="A111" s="36"/>
      <c r="B111" s="812" t="s">
        <v>181</v>
      </c>
    </row>
    <row r="112" spans="1:16">
      <c r="A112" s="36"/>
      <c r="B112" s="804" t="s">
        <v>180</v>
      </c>
      <c r="C112" s="161" t="s">
        <v>128</v>
      </c>
      <c r="D112" s="95">
        <f>D96+D108</f>
        <v>0</v>
      </c>
      <c r="E112" s="96">
        <f t="shared" ref="E112:K112" si="35">E96+E108</f>
        <v>0</v>
      </c>
      <c r="F112" s="96">
        <f t="shared" si="35"/>
        <v>0</v>
      </c>
      <c r="G112" s="96">
        <f t="shared" si="35"/>
        <v>0</v>
      </c>
      <c r="H112" s="96">
        <f t="shared" si="35"/>
        <v>0</v>
      </c>
      <c r="I112" s="96">
        <f t="shared" si="35"/>
        <v>0</v>
      </c>
      <c r="J112" s="96">
        <f t="shared" si="35"/>
        <v>1.1768364061026659E-14</v>
      </c>
      <c r="K112" s="96">
        <f t="shared" si="35"/>
        <v>-5.1070259132757201E-15</v>
      </c>
      <c r="L112" s="95">
        <f>SUM(D112:INDEX(D112:K112,0,MATCH('RFPR cover'!$C$7,$D$6:$K$6,0)))</f>
        <v>0</v>
      </c>
      <c r="M112" s="97">
        <f>SUM(D112:K112)</f>
        <v>6.6613381477509392E-15</v>
      </c>
    </row>
    <row r="113" spans="1:16">
      <c r="A113" s="36"/>
      <c r="B113" s="804" t="s">
        <v>280</v>
      </c>
      <c r="C113" s="161" t="s">
        <v>128</v>
      </c>
      <c r="D113" s="543">
        <f>D97+D109</f>
        <v>0</v>
      </c>
      <c r="E113" s="544">
        <f t="shared" ref="E113:K113" si="36">E97+E109</f>
        <v>0</v>
      </c>
      <c r="F113" s="544">
        <f t="shared" si="36"/>
        <v>0</v>
      </c>
      <c r="G113" s="544">
        <f t="shared" si="36"/>
        <v>0</v>
      </c>
      <c r="H113" s="544">
        <f t="shared" si="36"/>
        <v>0</v>
      </c>
      <c r="I113" s="544">
        <f t="shared" si="36"/>
        <v>0</v>
      </c>
      <c r="J113" s="544">
        <f t="shared" si="36"/>
        <v>1.354472090042691E-14</v>
      </c>
      <c r="K113" s="544">
        <f t="shared" si="36"/>
        <v>-5.9952043329758453E-15</v>
      </c>
      <c r="L113" s="543">
        <f>SUM(D113:INDEX(D113:K113,0,MATCH('RFPR cover'!$C$7,$D$6:$K$6,0)))</f>
        <v>0</v>
      </c>
      <c r="M113" s="545">
        <f>SUM(D113:K113)</f>
        <v>7.5495165674510645E-15</v>
      </c>
    </row>
    <row r="114" spans="1:16">
      <c r="A114" s="36"/>
      <c r="B114" s="812" t="s">
        <v>11</v>
      </c>
      <c r="C114" s="162" t="s">
        <v>128</v>
      </c>
      <c r="D114" s="151">
        <f>SUM(D112:D113)</f>
        <v>0</v>
      </c>
      <c r="E114" s="152">
        <f t="shared" ref="E114:K114" si="37">SUM(E112:E113)</f>
        <v>0</v>
      </c>
      <c r="F114" s="152">
        <f t="shared" si="37"/>
        <v>0</v>
      </c>
      <c r="G114" s="152">
        <f t="shared" si="37"/>
        <v>0</v>
      </c>
      <c r="H114" s="152">
        <f t="shared" si="37"/>
        <v>0</v>
      </c>
      <c r="I114" s="152">
        <f t="shared" si="37"/>
        <v>0</v>
      </c>
      <c r="J114" s="152">
        <f t="shared" si="37"/>
        <v>2.5313084961453569E-14</v>
      </c>
      <c r="K114" s="152">
        <f t="shared" si="37"/>
        <v>-1.1102230246251565E-14</v>
      </c>
      <c r="L114" s="151">
        <f>SUM(D114:INDEX(D114:K114,0,MATCH('RFPR cover'!$C$7,$D$6:$K$6,0)))</f>
        <v>0</v>
      </c>
      <c r="M114" s="153">
        <f>SUM(D114:K114)</f>
        <v>1.4210854715202004E-14</v>
      </c>
    </row>
    <row r="115" spans="1:16">
      <c r="A115" s="36"/>
      <c r="B115" s="804"/>
    </row>
    <row r="116" spans="1:16">
      <c r="A116" s="36"/>
      <c r="B116" s="807" t="str">
        <f>B38</f>
        <v>n/a</v>
      </c>
      <c r="C116" s="156"/>
      <c r="D116" s="81"/>
      <c r="E116" s="81"/>
      <c r="F116" s="81"/>
      <c r="G116" s="81"/>
      <c r="H116" s="81"/>
      <c r="I116" s="81"/>
      <c r="J116" s="81"/>
      <c r="K116" s="81"/>
      <c r="L116" s="81"/>
      <c r="M116" s="81"/>
      <c r="N116" s="81"/>
    </row>
    <row r="117" spans="1:16" s="36" customFormat="1">
      <c r="B117" s="805"/>
      <c r="C117" s="144"/>
      <c r="D117" s="335"/>
      <c r="E117" s="335"/>
      <c r="F117" s="335"/>
      <c r="G117" s="335"/>
      <c r="H117" s="335"/>
      <c r="I117" s="335"/>
      <c r="J117" s="335"/>
      <c r="K117" s="335"/>
      <c r="L117" s="335"/>
      <c r="M117" s="335"/>
      <c r="N117" s="335"/>
    </row>
    <row r="118" spans="1:16">
      <c r="A118" s="36"/>
      <c r="B118" s="320" t="s">
        <v>34</v>
      </c>
      <c r="C118" s="161" t="s">
        <v>128</v>
      </c>
      <c r="D118" s="694">
        <f t="shared" ref="D118:K119" si="38">D40*D$86</f>
        <v>0</v>
      </c>
      <c r="E118" s="694">
        <f t="shared" si="38"/>
        <v>0</v>
      </c>
      <c r="F118" s="694">
        <f t="shared" si="38"/>
        <v>0</v>
      </c>
      <c r="G118" s="694">
        <f t="shared" si="38"/>
        <v>0</v>
      </c>
      <c r="H118" s="694">
        <f t="shared" si="38"/>
        <v>0</v>
      </c>
      <c r="I118" s="694">
        <f t="shared" si="38"/>
        <v>0</v>
      </c>
      <c r="J118" s="694">
        <f t="shared" si="38"/>
        <v>0</v>
      </c>
      <c r="K118" s="694">
        <f t="shared" si="38"/>
        <v>0</v>
      </c>
      <c r="L118" s="694">
        <f>SUM(D118:INDEX(D118:K118,0,MATCH('RFPR cover'!$C$7,$D$6:$K$6,0)))</f>
        <v>0</v>
      </c>
      <c r="M118" s="695">
        <f>SUM(D118:K118)</f>
        <v>0</v>
      </c>
      <c r="N118" s="63"/>
      <c r="O118" s="63"/>
    </row>
    <row r="119" spans="1:16" ht="25.5">
      <c r="A119" s="36"/>
      <c r="B119" s="809" t="s">
        <v>197</v>
      </c>
      <c r="C119" s="161" t="s">
        <v>128</v>
      </c>
      <c r="D119" s="694">
        <f t="shared" si="38"/>
        <v>0</v>
      </c>
      <c r="E119" s="694">
        <f t="shared" si="38"/>
        <v>0</v>
      </c>
      <c r="F119" s="694">
        <f t="shared" si="38"/>
        <v>0</v>
      </c>
      <c r="G119" s="694">
        <f t="shared" si="38"/>
        <v>0</v>
      </c>
      <c r="H119" s="694">
        <f t="shared" si="38"/>
        <v>0</v>
      </c>
      <c r="I119" s="694">
        <f t="shared" si="38"/>
        <v>0</v>
      </c>
      <c r="J119" s="694">
        <f t="shared" si="38"/>
        <v>0</v>
      </c>
      <c r="K119" s="694">
        <f t="shared" si="38"/>
        <v>0</v>
      </c>
      <c r="L119" s="696">
        <f>SUM(D119:INDEX(D119:K119,0,MATCH('RFPR cover'!$C$7,$D$6:$K$6,0)))</f>
        <v>0</v>
      </c>
      <c r="M119" s="697">
        <f>SUM(D119:K119)</f>
        <v>0</v>
      </c>
      <c r="N119" s="63"/>
      <c r="O119" s="63"/>
    </row>
    <row r="120" spans="1:16">
      <c r="A120" s="36"/>
      <c r="B120" s="810" t="s">
        <v>195</v>
      </c>
      <c r="C120" s="161"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3"/>
      <c r="O120" s="991"/>
      <c r="P120" s="991"/>
    </row>
    <row r="121" spans="1:16">
      <c r="A121" s="36"/>
      <c r="B121" s="810"/>
      <c r="C121" s="161"/>
      <c r="D121" s="59"/>
      <c r="E121" s="59"/>
      <c r="F121" s="59"/>
      <c r="G121" s="59"/>
      <c r="H121" s="59"/>
      <c r="I121" s="59"/>
      <c r="J121" s="59"/>
      <c r="K121" s="59"/>
      <c r="L121" s="59"/>
      <c r="M121" s="59"/>
      <c r="O121" s="64"/>
      <c r="P121" s="64"/>
    </row>
    <row r="122" spans="1:16">
      <c r="A122" s="36"/>
      <c r="B122" s="804" t="s">
        <v>178</v>
      </c>
      <c r="C122" s="142" t="s">
        <v>7</v>
      </c>
      <c r="D122" s="109">
        <f>1-INDEX(Data!$D$73:$D$100,MATCH('RFPR cover'!$C$5,Data!$B$73:$B$100,0),0)</f>
        <v>0.46499999999999997</v>
      </c>
      <c r="E122" s="110">
        <f>1-INDEX(Data!$D$73:$D$100,MATCH('RFPR cover'!$C$5,Data!$B$73:$B$100,0),0)</f>
        <v>0.46499999999999997</v>
      </c>
      <c r="F122" s="110">
        <f>1-INDEX(Data!$D$73:$D$100,MATCH('RFPR cover'!$C$5,Data!$B$73:$B$100,0),0)</f>
        <v>0.46499999999999997</v>
      </c>
      <c r="G122" s="110">
        <f>1-INDEX(Data!$D$73:$D$100,MATCH('RFPR cover'!$C$5,Data!$B$73:$B$100,0),0)</f>
        <v>0.46499999999999997</v>
      </c>
      <c r="H122" s="110">
        <f>1-INDEX(Data!$D$73:$D$100,MATCH('RFPR cover'!$C$5,Data!$B$73:$B$100,0),0)</f>
        <v>0.46499999999999997</v>
      </c>
      <c r="I122" s="110">
        <f>1-INDEX(Data!$D$73:$D$100,MATCH('RFPR cover'!$C$5,Data!$B$73:$B$100,0),0)</f>
        <v>0.46499999999999997</v>
      </c>
      <c r="J122" s="110">
        <f>1-INDEX(Data!$D$73:$D$100,MATCH('RFPR cover'!$C$5,Data!$B$73:$B$100,0),0)</f>
        <v>0.46499999999999997</v>
      </c>
      <c r="K122" s="111">
        <f>1-INDEX(Data!$D$73:$D$100,MATCH('RFPR cover'!$C$5,Data!$B$73:$B$100,0),0)</f>
        <v>0.46499999999999997</v>
      </c>
      <c r="L122" s="62"/>
      <c r="M122" s="62"/>
      <c r="O122"/>
      <c r="P122"/>
    </row>
    <row r="123" spans="1:16">
      <c r="A123" s="36"/>
      <c r="B123" s="804"/>
      <c r="O123"/>
      <c r="P123"/>
    </row>
    <row r="124" spans="1:16">
      <c r="A124" s="36"/>
      <c r="B124" s="811" t="s">
        <v>183</v>
      </c>
      <c r="C124" s="165"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row>
    <row r="125" spans="1:16">
      <c r="A125" s="36"/>
      <c r="B125" s="811" t="s">
        <v>179</v>
      </c>
      <c r="C125" s="165"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row>
    <row r="126" spans="1:16">
      <c r="A126" s="36"/>
      <c r="B126" s="804"/>
      <c r="O126"/>
      <c r="P126"/>
    </row>
    <row r="127" spans="1:16">
      <c r="A127" s="36"/>
      <c r="B127" s="812" t="s">
        <v>182</v>
      </c>
      <c r="N127" s="63"/>
      <c r="O127"/>
      <c r="P127"/>
    </row>
    <row r="128" spans="1:16">
      <c r="A128" s="279" t="s">
        <v>151</v>
      </c>
      <c r="B128" s="231" t="str">
        <f t="shared" ref="B128:B133" si="42">B50</f>
        <v>[Enduring Value adjustment]</v>
      </c>
      <c r="C128" s="161" t="s">
        <v>128</v>
      </c>
      <c r="D128" s="608">
        <f t="shared" ref="D128:K133" si="43">D50*D$86</f>
        <v>0</v>
      </c>
      <c r="E128" s="608">
        <f t="shared" si="43"/>
        <v>0</v>
      </c>
      <c r="F128" s="608">
        <f t="shared" si="43"/>
        <v>0</v>
      </c>
      <c r="G128" s="608">
        <f t="shared" si="43"/>
        <v>0</v>
      </c>
      <c r="H128" s="608">
        <f t="shared" si="43"/>
        <v>0</v>
      </c>
      <c r="I128" s="608">
        <f t="shared" si="43"/>
        <v>0</v>
      </c>
      <c r="J128" s="608">
        <f t="shared" si="43"/>
        <v>0</v>
      </c>
      <c r="K128" s="608">
        <f t="shared" si="43"/>
        <v>0</v>
      </c>
      <c r="L128" s="608">
        <f>SUM(D128:INDEX(D128:K128,0,MATCH('RFPR cover'!$C$7,$D$6:$K$6,0)))</f>
        <v>0</v>
      </c>
      <c r="M128" s="609">
        <f t="shared" ref="M128:M134" si="44">SUM(D128:K128)</f>
        <v>0</v>
      </c>
      <c r="N128" s="63"/>
      <c r="O128"/>
      <c r="P128"/>
    </row>
    <row r="129" spans="1:16">
      <c r="A129" s="279" t="s">
        <v>152</v>
      </c>
      <c r="B129" s="231" t="str">
        <f t="shared" si="42"/>
        <v>[Enduring Value adjustment]</v>
      </c>
      <c r="C129" s="161" t="s">
        <v>128</v>
      </c>
      <c r="D129" s="608">
        <f t="shared" si="43"/>
        <v>0</v>
      </c>
      <c r="E129" s="608">
        <f t="shared" si="43"/>
        <v>0</v>
      </c>
      <c r="F129" s="608">
        <f t="shared" si="43"/>
        <v>0</v>
      </c>
      <c r="G129" s="608">
        <f t="shared" si="43"/>
        <v>0</v>
      </c>
      <c r="H129" s="608">
        <f t="shared" si="43"/>
        <v>0</v>
      </c>
      <c r="I129" s="608">
        <f t="shared" si="43"/>
        <v>0</v>
      </c>
      <c r="J129" s="608">
        <f t="shared" si="43"/>
        <v>0</v>
      </c>
      <c r="K129" s="608">
        <f t="shared" si="43"/>
        <v>0</v>
      </c>
      <c r="L129" s="612">
        <f>SUM(D129:INDEX(D129:K129,0,MATCH('RFPR cover'!$C$7,$D$6:$K$6,0)))</f>
        <v>0</v>
      </c>
      <c r="M129" s="613">
        <f t="shared" si="44"/>
        <v>0</v>
      </c>
      <c r="N129" s="63"/>
      <c r="O129"/>
      <c r="P129"/>
    </row>
    <row r="130" spans="1:16">
      <c r="A130" s="279" t="s">
        <v>153</v>
      </c>
      <c r="B130" s="231" t="str">
        <f t="shared" si="42"/>
        <v>[Enduring Value adjustment]</v>
      </c>
      <c r="C130" s="161" t="s">
        <v>128</v>
      </c>
      <c r="D130" s="608">
        <f t="shared" si="43"/>
        <v>0</v>
      </c>
      <c r="E130" s="608">
        <f t="shared" si="43"/>
        <v>0</v>
      </c>
      <c r="F130" s="608">
        <f t="shared" si="43"/>
        <v>0</v>
      </c>
      <c r="G130" s="608">
        <f t="shared" si="43"/>
        <v>0</v>
      </c>
      <c r="H130" s="608">
        <f t="shared" si="43"/>
        <v>0</v>
      </c>
      <c r="I130" s="608">
        <f t="shared" si="43"/>
        <v>0</v>
      </c>
      <c r="J130" s="608">
        <f t="shared" si="43"/>
        <v>0</v>
      </c>
      <c r="K130" s="608">
        <f t="shared" si="43"/>
        <v>0</v>
      </c>
      <c r="L130" s="612">
        <f>SUM(D130:INDEX(D130:K130,0,MATCH('RFPR cover'!$C$7,$D$6:$K$6,0)))</f>
        <v>0</v>
      </c>
      <c r="M130" s="613">
        <f t="shared" si="44"/>
        <v>0</v>
      </c>
      <c r="N130" s="63"/>
      <c r="O130"/>
      <c r="P130"/>
    </row>
    <row r="131" spans="1:16">
      <c r="A131" s="279" t="s">
        <v>168</v>
      </c>
      <c r="B131" s="231" t="str">
        <f t="shared" si="42"/>
        <v>[Enduring Value adjustment]</v>
      </c>
      <c r="C131" s="161" t="s">
        <v>128</v>
      </c>
      <c r="D131" s="608">
        <f t="shared" si="43"/>
        <v>0</v>
      </c>
      <c r="E131" s="608">
        <f t="shared" si="43"/>
        <v>0</v>
      </c>
      <c r="F131" s="608">
        <f t="shared" si="43"/>
        <v>0</v>
      </c>
      <c r="G131" s="608">
        <f t="shared" si="43"/>
        <v>0</v>
      </c>
      <c r="H131" s="608">
        <f t="shared" si="43"/>
        <v>0</v>
      </c>
      <c r="I131" s="608">
        <f t="shared" si="43"/>
        <v>0</v>
      </c>
      <c r="J131" s="608">
        <f t="shared" si="43"/>
        <v>0</v>
      </c>
      <c r="K131" s="608">
        <f t="shared" si="43"/>
        <v>0</v>
      </c>
      <c r="L131" s="612">
        <f>SUM(D131:INDEX(D131:K131,0,MATCH('RFPR cover'!$C$7,$D$6:$K$6,0)))</f>
        <v>0</v>
      </c>
      <c r="M131" s="613">
        <f t="shared" si="44"/>
        <v>0</v>
      </c>
      <c r="N131" s="63"/>
      <c r="O131"/>
      <c r="P131"/>
    </row>
    <row r="132" spans="1:16">
      <c r="A132" s="279" t="s">
        <v>169</v>
      </c>
      <c r="B132" s="231" t="str">
        <f t="shared" si="42"/>
        <v>[Enduring Value adjustment]</v>
      </c>
      <c r="C132" s="161" t="s">
        <v>128</v>
      </c>
      <c r="D132" s="608">
        <f t="shared" si="43"/>
        <v>0</v>
      </c>
      <c r="E132" s="608">
        <f t="shared" si="43"/>
        <v>0</v>
      </c>
      <c r="F132" s="608">
        <f t="shared" si="43"/>
        <v>0</v>
      </c>
      <c r="G132" s="608">
        <f t="shared" si="43"/>
        <v>0</v>
      </c>
      <c r="H132" s="608">
        <f t="shared" si="43"/>
        <v>0</v>
      </c>
      <c r="I132" s="608">
        <f t="shared" si="43"/>
        <v>0</v>
      </c>
      <c r="J132" s="608">
        <f t="shared" si="43"/>
        <v>0</v>
      </c>
      <c r="K132" s="608">
        <f t="shared" si="43"/>
        <v>0</v>
      </c>
      <c r="L132" s="612">
        <f>SUM(D132:INDEX(D132:K132,0,MATCH('RFPR cover'!$C$7,$D$6:$K$6,0)))</f>
        <v>0</v>
      </c>
      <c r="M132" s="613">
        <f t="shared" si="44"/>
        <v>0</v>
      </c>
      <c r="N132" s="63"/>
      <c r="O132"/>
      <c r="P132"/>
    </row>
    <row r="133" spans="1:16">
      <c r="A133" s="279" t="s">
        <v>170</v>
      </c>
      <c r="B133" s="231" t="str">
        <f t="shared" si="42"/>
        <v>[Enduring Value adjustment]</v>
      </c>
      <c r="C133" s="161" t="s">
        <v>128</v>
      </c>
      <c r="D133" s="608">
        <f t="shared" si="43"/>
        <v>0</v>
      </c>
      <c r="E133" s="608">
        <f t="shared" si="43"/>
        <v>0</v>
      </c>
      <c r="F133" s="608">
        <f t="shared" si="43"/>
        <v>0</v>
      </c>
      <c r="G133" s="608">
        <f t="shared" si="43"/>
        <v>0</v>
      </c>
      <c r="H133" s="608">
        <f t="shared" si="43"/>
        <v>0</v>
      </c>
      <c r="I133" s="608">
        <f t="shared" si="43"/>
        <v>0</v>
      </c>
      <c r="J133" s="608">
        <f t="shared" si="43"/>
        <v>0</v>
      </c>
      <c r="K133" s="608">
        <f t="shared" si="43"/>
        <v>0</v>
      </c>
      <c r="L133" s="616">
        <f>SUM(D133:INDEX(D133:K133,0,MATCH('RFPR cover'!$C$7,$D$6:$K$6,0)))</f>
        <v>0</v>
      </c>
      <c r="M133" s="617">
        <f t="shared" si="44"/>
        <v>0</v>
      </c>
      <c r="N133" s="63"/>
      <c r="O133"/>
      <c r="P133"/>
    </row>
    <row r="134" spans="1:16">
      <c r="A134" s="36"/>
      <c r="B134" s="812" t="s">
        <v>190</v>
      </c>
      <c r="C134" s="161"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3"/>
    </row>
    <row r="135" spans="1:16">
      <c r="A135" s="36"/>
      <c r="B135" s="804"/>
    </row>
    <row r="136" spans="1:16">
      <c r="A136" s="36"/>
      <c r="B136" s="811" t="s">
        <v>198</v>
      </c>
      <c r="C136" s="165"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16">
      <c r="A137" s="36"/>
      <c r="B137" s="811" t="s">
        <v>310</v>
      </c>
      <c r="C137" s="165"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16">
      <c r="A138" s="36"/>
      <c r="B138" s="804"/>
    </row>
    <row r="139" spans="1:16">
      <c r="A139" s="36"/>
      <c r="B139" s="812" t="s">
        <v>181</v>
      </c>
    </row>
    <row r="140" spans="1:16">
      <c r="A140" s="36"/>
      <c r="B140" s="804" t="s">
        <v>180</v>
      </c>
      <c r="C140" s="161"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16">
      <c r="A141" s="36"/>
      <c r="B141" s="804" t="s">
        <v>280</v>
      </c>
      <c r="C141" s="161"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16">
      <c r="A142" s="36"/>
      <c r="B142" s="812" t="s">
        <v>11</v>
      </c>
      <c r="C142" s="162" t="s">
        <v>128</v>
      </c>
      <c r="D142" s="145">
        <f>SUM(D140:D141)</f>
        <v>0</v>
      </c>
      <c r="E142" s="146">
        <f t="shared" ref="E142:K142" si="50">SUM(E140:E141)</f>
        <v>0</v>
      </c>
      <c r="F142" s="146">
        <f t="shared" si="50"/>
        <v>0</v>
      </c>
      <c r="G142" s="146">
        <f t="shared" si="50"/>
        <v>0</v>
      </c>
      <c r="H142" s="146">
        <f t="shared" si="50"/>
        <v>0</v>
      </c>
      <c r="I142" s="146">
        <f t="shared" si="50"/>
        <v>0</v>
      </c>
      <c r="J142" s="146">
        <f t="shared" si="50"/>
        <v>0</v>
      </c>
      <c r="K142" s="146">
        <f t="shared" si="50"/>
        <v>0</v>
      </c>
      <c r="L142" s="145">
        <f>SUM(D142:INDEX(D142:K142,0,MATCH('RFPR cover'!$C$7,$D$6:$K$6,0)))</f>
        <v>0</v>
      </c>
      <c r="M142" s="147">
        <f>SUM(D142:K142)</f>
        <v>0</v>
      </c>
    </row>
    <row r="143" spans="1:16">
      <c r="A143" s="36"/>
      <c r="B143" s="812"/>
      <c r="C143" s="162"/>
      <c r="D143" s="162"/>
      <c r="E143" s="162"/>
      <c r="F143" s="162"/>
      <c r="G143" s="162"/>
      <c r="H143" s="162"/>
      <c r="I143" s="162"/>
      <c r="J143" s="162"/>
      <c r="K143" s="162"/>
      <c r="L143" s="162"/>
      <c r="M143" s="162"/>
    </row>
    <row r="144" spans="1:16">
      <c r="A144" s="36"/>
      <c r="B144" s="807" t="s">
        <v>257</v>
      </c>
      <c r="C144" s="156"/>
      <c r="D144" s="81"/>
      <c r="E144" s="81"/>
      <c r="F144" s="81"/>
      <c r="G144" s="81"/>
      <c r="H144" s="81"/>
      <c r="I144" s="81"/>
      <c r="J144" s="81"/>
      <c r="K144" s="81"/>
      <c r="L144" s="81"/>
      <c r="M144" s="81"/>
      <c r="N144" s="81"/>
    </row>
    <row r="145" spans="1:16">
      <c r="A145" s="36"/>
      <c r="B145" s="804"/>
      <c r="O145"/>
      <c r="P145"/>
    </row>
    <row r="146" spans="1:16">
      <c r="A146" s="36"/>
      <c r="B146" s="812" t="s">
        <v>181</v>
      </c>
    </row>
    <row r="147" spans="1:16">
      <c r="A147" s="36"/>
      <c r="B147" s="804" t="s">
        <v>180</v>
      </c>
      <c r="C147" s="161" t="s">
        <v>128</v>
      </c>
      <c r="D147" s="95">
        <f>D112+D140</f>
        <v>0</v>
      </c>
      <c r="E147" s="96">
        <f t="shared" ref="E147:K147" si="51">E112+E140</f>
        <v>0</v>
      </c>
      <c r="F147" s="96">
        <f t="shared" si="51"/>
        <v>0</v>
      </c>
      <c r="G147" s="96">
        <f t="shared" si="51"/>
        <v>0</v>
      </c>
      <c r="H147" s="96">
        <f t="shared" si="51"/>
        <v>0</v>
      </c>
      <c r="I147" s="96">
        <f t="shared" si="51"/>
        <v>0</v>
      </c>
      <c r="J147" s="96">
        <f t="shared" si="51"/>
        <v>1.1768364061026659E-14</v>
      </c>
      <c r="K147" s="96">
        <f t="shared" si="51"/>
        <v>-5.1070259132757201E-15</v>
      </c>
      <c r="L147" s="95">
        <f>SUM(D147:INDEX(D147:K147,0,MATCH('RFPR cover'!$C$7,$D$6:$K$6,0)))</f>
        <v>0</v>
      </c>
      <c r="M147" s="97">
        <f>SUM(D147:K147)</f>
        <v>6.6613381477509392E-15</v>
      </c>
    </row>
    <row r="148" spans="1:16">
      <c r="A148" s="36"/>
      <c r="B148" s="804" t="s">
        <v>280</v>
      </c>
      <c r="C148" s="161" t="s">
        <v>128</v>
      </c>
      <c r="D148" s="98">
        <f t="shared" ref="D148:K148" si="52">D113+D141</f>
        <v>0</v>
      </c>
      <c r="E148" s="99">
        <f t="shared" si="52"/>
        <v>0</v>
      </c>
      <c r="F148" s="99">
        <f t="shared" si="52"/>
        <v>0</v>
      </c>
      <c r="G148" s="99">
        <f t="shared" si="52"/>
        <v>0</v>
      </c>
      <c r="H148" s="99">
        <f t="shared" si="52"/>
        <v>0</v>
      </c>
      <c r="I148" s="99">
        <f t="shared" si="52"/>
        <v>0</v>
      </c>
      <c r="J148" s="99">
        <f t="shared" si="52"/>
        <v>1.354472090042691E-14</v>
      </c>
      <c r="K148" s="99">
        <f t="shared" si="52"/>
        <v>-5.9952043329758453E-15</v>
      </c>
      <c r="L148" s="98">
        <f>SUM(D148:INDEX(D148:K148,0,MATCH('RFPR cover'!$C$7,$D$6:$K$6,0)))</f>
        <v>0</v>
      </c>
      <c r="M148" s="100">
        <f>SUM(D148:K148)</f>
        <v>7.5495165674510645E-15</v>
      </c>
    </row>
    <row r="149" spans="1:16">
      <c r="A149" s="36"/>
      <c r="B149" s="812" t="s">
        <v>11</v>
      </c>
      <c r="C149" s="162" t="s">
        <v>128</v>
      </c>
      <c r="D149" s="145">
        <f>SUM(D147:D148)</f>
        <v>0</v>
      </c>
      <c r="E149" s="146">
        <f t="shared" ref="E149:K149" si="53">SUM(E147:E148)</f>
        <v>0</v>
      </c>
      <c r="F149" s="146">
        <f t="shared" si="53"/>
        <v>0</v>
      </c>
      <c r="G149" s="146">
        <f t="shared" si="53"/>
        <v>0</v>
      </c>
      <c r="H149" s="146">
        <f t="shared" si="53"/>
        <v>0</v>
      </c>
      <c r="I149" s="146">
        <f t="shared" si="53"/>
        <v>0</v>
      </c>
      <c r="J149" s="146">
        <f t="shared" si="53"/>
        <v>2.5313084961453569E-14</v>
      </c>
      <c r="K149" s="146">
        <f t="shared" si="53"/>
        <v>-1.1102230246251565E-14</v>
      </c>
      <c r="L149" s="145">
        <f>SUM(D149:INDEX(D149:K149,0,MATCH('RFPR cover'!$C$7,$D$6:$K$6,0)))</f>
        <v>0</v>
      </c>
      <c r="M149" s="147">
        <f>SUM(D149:K149)</f>
        <v>1.4210854715202004E-14</v>
      </c>
    </row>
    <row r="150" spans="1:16">
      <c r="A150" s="36"/>
      <c r="B150" s="811"/>
      <c r="D150" s="142"/>
      <c r="E150" s="142"/>
      <c r="F150" s="142"/>
      <c r="G150" s="142"/>
      <c r="H150" s="142"/>
      <c r="I150" s="142"/>
      <c r="J150" s="142"/>
      <c r="K150" s="142"/>
    </row>
    <row r="151" spans="1:16">
      <c r="A151" s="36"/>
      <c r="B151" s="804"/>
    </row>
    <row r="152" spans="1:16">
      <c r="A152" s="81"/>
      <c r="B152" s="803"/>
      <c r="C152" s="156"/>
      <c r="D152" s="81"/>
      <c r="E152" s="81"/>
      <c r="F152" s="81"/>
      <c r="G152" s="81"/>
      <c r="H152" s="81"/>
      <c r="I152" s="81"/>
      <c r="J152" s="81"/>
      <c r="K152" s="81"/>
      <c r="L152" s="81"/>
      <c r="M152" s="81"/>
      <c r="N152" s="81"/>
    </row>
    <row r="153" spans="1:16">
      <c r="B153" s="804"/>
    </row>
    <row r="154" spans="1:16">
      <c r="B154" s="804"/>
    </row>
  </sheetData>
  <mergeCells count="4">
    <mergeCell ref="O14:P14"/>
    <mergeCell ref="O42:P42"/>
    <mergeCell ref="O92:P92"/>
    <mergeCell ref="O120:P120"/>
  </mergeCells>
  <conditionalFormatting sqref="D6:K6">
    <cfRule type="expression" dxfId="41" priority="15">
      <formula>AND(D$5="Actuals",E$5="Forecast")</formula>
    </cfRule>
  </conditionalFormatting>
  <conditionalFormatting sqref="B118:M142">
    <cfRule type="expression" dxfId="40" priority="11">
      <formula>$B$38="n/a"</formula>
    </cfRule>
  </conditionalFormatting>
  <conditionalFormatting sqref="D5:K5">
    <cfRule type="expression" dxfId="39" priority="10">
      <formula>AND(D$5="Actuals",E$5="Forecast")</formula>
    </cfRule>
  </conditionalFormatting>
  <conditionalFormatting sqref="B38:N64">
    <cfRule type="expression" dxfId="38" priority="9">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N114"/>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1.375" bestFit="1" customWidth="1"/>
    <col min="3" max="3" width="13.375" style="142" customWidth="1"/>
    <col min="4" max="11" width="11.125" customWidth="1"/>
    <col min="12" max="12" width="12.875" customWidth="1"/>
    <col min="13" max="13" width="12.75" customWidth="1"/>
    <col min="14" max="14" width="5" customWidth="1"/>
  </cols>
  <sheetData>
    <row r="1" spans="1:14" s="38" customFormat="1" ht="20.25">
      <c r="A1" s="134" t="s">
        <v>262</v>
      </c>
      <c r="B1" s="135"/>
      <c r="C1" s="159"/>
      <c r="D1" s="135"/>
      <c r="E1" s="135"/>
      <c r="F1" s="135"/>
      <c r="G1" s="135"/>
      <c r="H1" s="135"/>
      <c r="I1" s="130"/>
      <c r="J1" s="130"/>
      <c r="K1" s="130"/>
      <c r="L1" s="130"/>
      <c r="M1" s="130"/>
      <c r="N1" s="131"/>
    </row>
    <row r="2" spans="1:14" s="38" customFormat="1" ht="20.25">
      <c r="A2" s="136" t="str">
        <f>'RFPR cover'!C5</f>
        <v>SPD</v>
      </c>
      <c r="B2" s="37"/>
      <c r="C2" s="160"/>
      <c r="D2" s="37"/>
      <c r="E2" s="37"/>
      <c r="F2" s="37"/>
      <c r="G2" s="37"/>
      <c r="H2" s="37"/>
      <c r="I2" s="27"/>
      <c r="J2" s="27"/>
      <c r="K2" s="27"/>
      <c r="L2" s="27"/>
      <c r="M2" s="27"/>
      <c r="N2" s="125"/>
    </row>
    <row r="3" spans="1:14" s="38" customFormat="1" ht="20.25">
      <c r="A3" s="137">
        <f>'RFPR cover'!C7</f>
        <v>2019</v>
      </c>
      <c r="B3" s="138"/>
      <c r="C3" s="141"/>
      <c r="D3" s="138"/>
      <c r="E3" s="138"/>
      <c r="F3" s="138"/>
      <c r="G3" s="138"/>
      <c r="H3" s="138"/>
      <c r="I3" s="29"/>
      <c r="J3" s="29"/>
      <c r="K3" s="29"/>
      <c r="L3" s="29"/>
      <c r="M3" s="29"/>
      <c r="N3" s="128"/>
    </row>
    <row r="4" spans="1:14" s="2" customFormat="1" ht="12.75" customHeight="1">
      <c r="B4" s="3"/>
      <c r="C4" s="142"/>
    </row>
    <row r="5" spans="1:14" s="2" customFormat="1" ht="12.75" customHeight="1">
      <c r="B5" s="3"/>
      <c r="C5" s="142"/>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row>
    <row r="6" spans="1:14" s="2" customFormat="1" ht="29.25" customHeight="1">
      <c r="C6" s="142"/>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2019</v>
      </c>
      <c r="M6" s="119" t="s">
        <v>109</v>
      </c>
    </row>
    <row r="7" spans="1:14" s="2" customFormat="1">
      <c r="A7" s="36"/>
      <c r="C7" s="142"/>
    </row>
    <row r="8" spans="1:14" s="2" customFormat="1">
      <c r="A8" s="36"/>
      <c r="B8" s="116" t="s">
        <v>199</v>
      </c>
      <c r="C8" s="156"/>
      <c r="D8" s="80"/>
      <c r="E8" s="80"/>
      <c r="F8" s="80"/>
      <c r="G8" s="80"/>
      <c r="H8" s="80"/>
      <c r="I8" s="80"/>
      <c r="J8" s="80"/>
      <c r="K8" s="80"/>
      <c r="L8" s="80"/>
      <c r="M8" s="80"/>
      <c r="N8" s="80"/>
    </row>
    <row r="9" spans="1:14" s="2" customFormat="1">
      <c r="A9" s="36"/>
      <c r="B9" s="384" t="s">
        <v>388</v>
      </c>
      <c r="C9" s="384"/>
      <c r="D9" s="384"/>
      <c r="E9" s="384"/>
      <c r="F9" s="384"/>
      <c r="G9" s="384"/>
      <c r="H9" s="384"/>
      <c r="I9" s="384"/>
      <c r="J9" s="384"/>
      <c r="K9" s="384"/>
      <c r="L9" s="384"/>
      <c r="M9" s="384"/>
      <c r="N9" s="384"/>
    </row>
    <row r="10" spans="1:14" s="2" customFormat="1">
      <c r="A10" s="36"/>
      <c r="B10" s="12"/>
      <c r="C10" s="142"/>
    </row>
    <row r="11" spans="1:14" s="2" customFormat="1">
      <c r="A11" s="230" t="s">
        <v>151</v>
      </c>
      <c r="B11" s="36" t="str">
        <f>Data!B153</f>
        <v>Broad measure of customer service</v>
      </c>
      <c r="C11" s="161" t="str">
        <f>'RFPR cover'!$C$14</f>
        <v>£m 12/13</v>
      </c>
      <c r="D11" s="618">
        <v>2.5695000000000006</v>
      </c>
      <c r="E11" s="618">
        <v>2.5243500000000001</v>
      </c>
      <c r="F11" s="618">
        <v>2.8318800000000035</v>
      </c>
      <c r="G11" s="618">
        <v>2.817485167938385</v>
      </c>
      <c r="H11" s="619">
        <v>3.1</v>
      </c>
      <c r="I11" s="619">
        <v>3.1</v>
      </c>
      <c r="J11" s="619">
        <v>3.1</v>
      </c>
      <c r="K11" s="619">
        <v>3.1</v>
      </c>
      <c r="L11" s="694">
        <f>SUM(D11:INDEX(D11:K11,0,MATCH('RFPR cover'!$C$7,$D$6:$K$6,0)))</f>
        <v>10.74321516793839</v>
      </c>
      <c r="M11" s="695">
        <f t="shared" ref="M11:M17" si="1">SUM(D11:K11)</f>
        <v>23.143215167938394</v>
      </c>
    </row>
    <row r="12" spans="1:14" s="2" customFormat="1">
      <c r="A12" s="230" t="s">
        <v>152</v>
      </c>
      <c r="B12" s="36" t="str">
        <f>Data!B154</f>
        <v>Interruptions-related quality of service</v>
      </c>
      <c r="C12" s="161" t="str">
        <f>'RFPR cover'!$C$14</f>
        <v>£m 12/13</v>
      </c>
      <c r="D12" s="620">
        <v>6.4745755729166703</v>
      </c>
      <c r="E12" s="620">
        <v>10.071152083333331</v>
      </c>
      <c r="F12" s="620">
        <v>8.8269837139917708</v>
      </c>
      <c r="G12" s="620">
        <v>4.992194556089645</v>
      </c>
      <c r="H12" s="621">
        <v>6.5</v>
      </c>
      <c r="I12" s="621">
        <v>5.875</v>
      </c>
      <c r="J12" s="621">
        <v>5.25</v>
      </c>
      <c r="K12" s="621">
        <v>4</v>
      </c>
      <c r="L12" s="698">
        <f>SUM(D12:INDEX(D12:K12,0,MATCH('RFPR cover'!$C$7,$D$6:$K$6,0)))</f>
        <v>30.364905926331417</v>
      </c>
      <c r="M12" s="699">
        <f t="shared" si="1"/>
        <v>51.989905926331417</v>
      </c>
    </row>
    <row r="13" spans="1:14" s="2" customFormat="1">
      <c r="A13" s="230" t="s">
        <v>153</v>
      </c>
      <c r="B13" s="36" t="str">
        <f>Data!B155</f>
        <v>Incentive on connections engagement</v>
      </c>
      <c r="C13" s="161" t="str">
        <f>'RFPR cover'!$C$14</f>
        <v>£m 12/13</v>
      </c>
      <c r="D13" s="620">
        <v>0</v>
      </c>
      <c r="E13" s="620">
        <v>0</v>
      </c>
      <c r="F13" s="620">
        <v>0</v>
      </c>
      <c r="G13" s="620">
        <v>0</v>
      </c>
      <c r="H13" s="621">
        <v>0</v>
      </c>
      <c r="I13" s="621">
        <v>0</v>
      </c>
      <c r="J13" s="621">
        <v>0</v>
      </c>
      <c r="K13" s="621">
        <v>0</v>
      </c>
      <c r="L13" s="698">
        <f>SUM(D13:INDEX(D13:K13,0,MATCH('RFPR cover'!$C$7,$D$6:$K$6,0)))</f>
        <v>0</v>
      </c>
      <c r="M13" s="699">
        <f t="shared" si="1"/>
        <v>0</v>
      </c>
    </row>
    <row r="14" spans="1:14" s="2" customFormat="1">
      <c r="A14" s="230" t="s">
        <v>168</v>
      </c>
      <c r="B14" s="36" t="str">
        <f>Data!B156</f>
        <v>Time to Connect Incentive</v>
      </c>
      <c r="C14" s="161" t="str">
        <f>'RFPR cover'!$C$14</f>
        <v>£m 12/13</v>
      </c>
      <c r="D14" s="620">
        <v>0.96200459893724699</v>
      </c>
      <c r="E14" s="620">
        <v>0.6</v>
      </c>
      <c r="F14" s="620">
        <v>0.6</v>
      </c>
      <c r="G14" s="620">
        <v>0.6</v>
      </c>
      <c r="H14" s="621">
        <v>0.6</v>
      </c>
      <c r="I14" s="621">
        <v>0.6</v>
      </c>
      <c r="J14" s="621">
        <v>0.6</v>
      </c>
      <c r="K14" s="621">
        <v>0.6</v>
      </c>
      <c r="L14" s="698">
        <f>SUM(D14:INDEX(D14:K14,0,MATCH('RFPR cover'!$C$7,$D$6:$K$6,0)))</f>
        <v>2.762004598937247</v>
      </c>
      <c r="M14" s="699">
        <f t="shared" si="1"/>
        <v>5.1620045989372469</v>
      </c>
    </row>
    <row r="15" spans="1:14" s="2" customFormat="1">
      <c r="A15" s="230" t="s">
        <v>169</v>
      </c>
      <c r="B15" s="36" t="str">
        <f>Data!B157</f>
        <v>Losses discretionary reward scheme</v>
      </c>
      <c r="C15" s="161" t="str">
        <f>'RFPR cover'!$C$14</f>
        <v>£m 12/13</v>
      </c>
      <c r="D15" s="620">
        <v>0</v>
      </c>
      <c r="E15" s="620">
        <v>0.38500000000000001</v>
      </c>
      <c r="F15" s="620">
        <v>0</v>
      </c>
      <c r="G15" s="620">
        <v>0</v>
      </c>
      <c r="H15" s="621">
        <v>0</v>
      </c>
      <c r="I15" s="621">
        <v>0.58299999999999996</v>
      </c>
      <c r="J15" s="621">
        <v>0</v>
      </c>
      <c r="K15" s="621">
        <v>0</v>
      </c>
      <c r="L15" s="698">
        <f>SUM(D15:INDEX(D15:K15,0,MATCH('RFPR cover'!$C$7,$D$6:$K$6,0)))</f>
        <v>0.38500000000000001</v>
      </c>
      <c r="M15" s="699">
        <f t="shared" si="1"/>
        <v>0.96799999999999997</v>
      </c>
    </row>
    <row r="16" spans="1:14" s="2" customFormat="1">
      <c r="A16" s="230" t="s">
        <v>170</v>
      </c>
      <c r="B16" s="36" t="str">
        <f>Data!B158</f>
        <v/>
      </c>
      <c r="C16" s="161" t="str">
        <f>'RFPR cover'!$C$14</f>
        <v>£m 12/13</v>
      </c>
      <c r="D16" s="620"/>
      <c r="E16" s="621"/>
      <c r="F16" s="621"/>
      <c r="G16" s="621"/>
      <c r="H16" s="621"/>
      <c r="I16" s="621"/>
      <c r="J16" s="621"/>
      <c r="K16" s="621"/>
      <c r="L16" s="698">
        <f>SUM(D16:INDEX(D16:K16,0,MATCH('RFPR cover'!$C$7,$D$6:$K$6,0)))</f>
        <v>0</v>
      </c>
      <c r="M16" s="699">
        <f t="shared" si="1"/>
        <v>0</v>
      </c>
    </row>
    <row r="17" spans="1:14" s="2" customFormat="1">
      <c r="A17" s="230" t="s">
        <v>476</v>
      </c>
      <c r="B17" s="36" t="str">
        <f>Data!B159</f>
        <v/>
      </c>
      <c r="C17" s="161" t="str">
        <f>'RFPR cover'!$C$14</f>
        <v>£m 12/13</v>
      </c>
      <c r="D17" s="880"/>
      <c r="E17" s="881"/>
      <c r="F17" s="881"/>
      <c r="G17" s="881"/>
      <c r="H17" s="881"/>
      <c r="I17" s="881"/>
      <c r="J17" s="881"/>
      <c r="K17" s="882"/>
      <c r="L17" s="698">
        <f>SUM(D17:INDEX(D17:K17,0,MATCH('RFPR cover'!$C$7,$D$6:$K$6,0)))</f>
        <v>0</v>
      </c>
      <c r="M17" s="699">
        <f t="shared" si="1"/>
        <v>0</v>
      </c>
    </row>
    <row r="18" spans="1:14" s="2" customFormat="1">
      <c r="A18" s="36"/>
      <c r="B18" s="12" t="s">
        <v>203</v>
      </c>
      <c r="C18" s="162" t="str">
        <f>'RFPR cover'!$C$14</f>
        <v>£m 12/13</v>
      </c>
      <c r="D18" s="634">
        <f>SUM(D11:D17)</f>
        <v>10.006080171853919</v>
      </c>
      <c r="E18" s="634">
        <f t="shared" ref="E18:K18" si="2">SUM(E11:E17)</f>
        <v>13.580502083333331</v>
      </c>
      <c r="F18" s="634">
        <f t="shared" si="2"/>
        <v>12.258863713991774</v>
      </c>
      <c r="G18" s="634">
        <f t="shared" si="2"/>
        <v>8.4096797240280292</v>
      </c>
      <c r="H18" s="634">
        <f t="shared" si="2"/>
        <v>10.199999999999999</v>
      </c>
      <c r="I18" s="634">
        <f t="shared" si="2"/>
        <v>10.157999999999999</v>
      </c>
      <c r="J18" s="634">
        <f t="shared" si="2"/>
        <v>8.9499999999999993</v>
      </c>
      <c r="K18" s="634">
        <f t="shared" si="2"/>
        <v>7.6999999999999993</v>
      </c>
      <c r="L18" s="634">
        <f>SUM(L11:L17)</f>
        <v>44.255125693207049</v>
      </c>
      <c r="M18" s="634">
        <f>SUM(M11:M17)</f>
        <v>81.263125693207058</v>
      </c>
    </row>
    <row r="19" spans="1:14" s="2" customFormat="1">
      <c r="A19" s="36"/>
      <c r="B19" s="12"/>
      <c r="C19" s="162"/>
      <c r="D19" s="162"/>
      <c r="E19" s="162"/>
      <c r="F19" s="162"/>
      <c r="G19" s="162"/>
      <c r="H19" s="162"/>
      <c r="I19" s="162"/>
      <c r="J19" s="162"/>
      <c r="K19" s="162"/>
      <c r="L19" s="162"/>
      <c r="M19" s="162"/>
    </row>
    <row r="20" spans="1:14" s="2" customFormat="1">
      <c r="A20" s="36"/>
      <c r="B20" s="12" t="s">
        <v>370</v>
      </c>
      <c r="C20" s="162"/>
      <c r="D20" s="162"/>
      <c r="E20" s="162"/>
      <c r="F20" s="162"/>
      <c r="G20" s="162"/>
      <c r="H20" s="162"/>
      <c r="I20" s="162"/>
      <c r="J20" s="162"/>
      <c r="K20" s="162"/>
      <c r="L20" s="162"/>
      <c r="M20" s="162"/>
    </row>
    <row r="21" spans="1:14" s="2" customFormat="1">
      <c r="A21" s="279" t="str">
        <f>A11</f>
        <v>a</v>
      </c>
      <c r="B21" s="992" t="s">
        <v>538</v>
      </c>
      <c r="C21" s="992"/>
      <c r="D21" s="992"/>
      <c r="E21" s="992"/>
      <c r="F21" s="992"/>
      <c r="G21" s="992"/>
      <c r="H21" s="992"/>
      <c r="I21" s="992"/>
      <c r="J21" s="992"/>
      <c r="K21" s="992"/>
      <c r="L21" s="992"/>
      <c r="M21" s="992"/>
    </row>
    <row r="22" spans="1:14" s="2" customFormat="1">
      <c r="A22" s="279" t="str">
        <f>A12</f>
        <v>b</v>
      </c>
      <c r="B22" s="992"/>
      <c r="C22" s="992"/>
      <c r="D22" s="992"/>
      <c r="E22" s="992"/>
      <c r="F22" s="992"/>
      <c r="G22" s="992"/>
      <c r="H22" s="992"/>
      <c r="I22" s="992"/>
      <c r="J22" s="992"/>
      <c r="K22" s="992"/>
      <c r="L22" s="992"/>
      <c r="M22" s="992"/>
    </row>
    <row r="23" spans="1:14" s="2" customFormat="1">
      <c r="A23" s="279" t="str">
        <f>A13</f>
        <v>c</v>
      </c>
      <c r="B23" s="992" t="s">
        <v>533</v>
      </c>
      <c r="C23" s="992"/>
      <c r="D23" s="992"/>
      <c r="E23" s="992"/>
      <c r="F23" s="992"/>
      <c r="G23" s="992"/>
      <c r="H23" s="992"/>
      <c r="I23" s="992"/>
      <c r="J23" s="992"/>
      <c r="K23" s="992"/>
      <c r="L23" s="992"/>
      <c r="M23" s="992"/>
    </row>
    <row r="24" spans="1:14" s="2" customFormat="1">
      <c r="A24" s="279" t="str">
        <f>A14</f>
        <v>d</v>
      </c>
      <c r="B24" s="992"/>
      <c r="C24" s="992"/>
      <c r="D24" s="992"/>
      <c r="E24" s="992"/>
      <c r="F24" s="992"/>
      <c r="G24" s="992"/>
      <c r="H24" s="992"/>
      <c r="I24" s="992"/>
      <c r="J24" s="992"/>
      <c r="K24" s="992"/>
      <c r="L24" s="992"/>
      <c r="M24" s="992"/>
    </row>
    <row r="25" spans="1:14" s="2" customFormat="1">
      <c r="A25" s="279" t="str">
        <f>A15</f>
        <v>e</v>
      </c>
      <c r="B25" s="992" t="s">
        <v>534</v>
      </c>
      <c r="C25" s="992"/>
      <c r="D25" s="992"/>
      <c r="E25" s="992"/>
      <c r="F25" s="992"/>
      <c r="G25" s="992"/>
      <c r="H25" s="992"/>
      <c r="I25" s="992"/>
      <c r="J25" s="992"/>
      <c r="K25" s="992"/>
      <c r="L25" s="992"/>
      <c r="M25" s="992"/>
    </row>
    <row r="26" spans="1:14" s="2" customFormat="1">
      <c r="A26" s="279" t="s">
        <v>170</v>
      </c>
      <c r="B26" s="876"/>
      <c r="C26" s="876"/>
      <c r="D26" s="876"/>
      <c r="E26" s="876"/>
      <c r="F26" s="876"/>
      <c r="G26" s="876"/>
      <c r="H26" s="876"/>
      <c r="I26" s="876"/>
      <c r="J26" s="876"/>
      <c r="K26" s="876"/>
      <c r="L26" s="876"/>
      <c r="M26" s="876"/>
    </row>
    <row r="27" spans="1:14" s="2" customFormat="1">
      <c r="A27" s="279" t="s">
        <v>476</v>
      </c>
      <c r="B27" s="876"/>
      <c r="C27" s="876"/>
      <c r="D27" s="876"/>
      <c r="E27" s="876"/>
      <c r="F27" s="876"/>
      <c r="G27" s="876"/>
      <c r="H27" s="876"/>
      <c r="I27" s="876"/>
      <c r="J27" s="876"/>
      <c r="K27" s="876"/>
      <c r="L27" s="876"/>
      <c r="M27" s="876"/>
    </row>
    <row r="28" spans="1:14" s="556" customFormat="1">
      <c r="A28" s="39"/>
      <c r="B28" s="560"/>
      <c r="C28" s="560"/>
      <c r="D28" s="560"/>
      <c r="E28" s="560"/>
      <c r="F28" s="560"/>
      <c r="G28" s="560"/>
      <c r="H28" s="560"/>
      <c r="I28" s="560"/>
      <c r="J28" s="560"/>
      <c r="K28" s="560"/>
      <c r="L28" s="560"/>
      <c r="M28" s="560"/>
    </row>
    <row r="29" spans="1:14" s="2" customFormat="1">
      <c r="B29" s="12"/>
      <c r="C29" s="142"/>
      <c r="D29" s="53"/>
      <c r="E29" s="53"/>
      <c r="F29" s="53"/>
      <c r="G29" s="53"/>
      <c r="H29" s="53"/>
      <c r="I29" s="53"/>
      <c r="J29" s="53"/>
      <c r="K29" s="53"/>
    </row>
    <row r="30" spans="1:14" s="2" customFormat="1">
      <c r="A30" s="36"/>
      <c r="B30" s="116" t="s">
        <v>200</v>
      </c>
      <c r="C30" s="156"/>
      <c r="D30" s="80"/>
      <c r="E30" s="80"/>
      <c r="F30" s="80"/>
      <c r="G30" s="80"/>
      <c r="H30" s="80"/>
      <c r="I30" s="80"/>
      <c r="J30" s="80"/>
      <c r="K30" s="80"/>
      <c r="L30" s="80"/>
      <c r="M30" s="80"/>
      <c r="N30" s="80"/>
    </row>
    <row r="31" spans="1:14" s="2" customFormat="1">
      <c r="A31" s="36"/>
      <c r="B31" s="36"/>
      <c r="C31" s="36"/>
      <c r="D31" s="36"/>
      <c r="E31" s="36"/>
      <c r="F31" s="36"/>
      <c r="G31" s="36"/>
      <c r="H31" s="36"/>
      <c r="I31" s="36"/>
      <c r="J31" s="36"/>
      <c r="K31" s="36"/>
      <c r="L31" s="36"/>
      <c r="M31" s="36"/>
      <c r="N31" s="36"/>
    </row>
    <row r="32" spans="1:14" s="2" customFormat="1">
      <c r="A32" s="36"/>
      <c r="B32" s="384" t="s">
        <v>211</v>
      </c>
      <c r="C32" s="302"/>
      <c r="D32" s="304"/>
      <c r="E32" s="304"/>
      <c r="F32" s="304"/>
      <c r="G32" s="304"/>
      <c r="H32" s="304"/>
      <c r="I32" s="304"/>
      <c r="J32" s="304"/>
      <c r="K32" s="304"/>
      <c r="L32" s="304"/>
      <c r="M32" s="304"/>
      <c r="N32" s="304"/>
    </row>
    <row r="33" spans="1:14" s="2" customFormat="1">
      <c r="A33" s="36"/>
      <c r="B33" s="385" t="s">
        <v>241</v>
      </c>
      <c r="C33" s="302"/>
      <c r="D33" s="304"/>
      <c r="E33" s="304"/>
      <c r="F33" s="304"/>
      <c r="G33" s="304"/>
      <c r="H33" s="304"/>
      <c r="I33" s="304"/>
      <c r="J33" s="304"/>
      <c r="K33" s="304"/>
      <c r="L33" s="304"/>
      <c r="M33" s="304"/>
      <c r="N33" s="304"/>
    </row>
    <row r="34" spans="1:14" s="2" customFormat="1">
      <c r="A34" s="36"/>
      <c r="B34" s="385" t="s">
        <v>477</v>
      </c>
      <c r="C34" s="302"/>
      <c r="D34" s="304"/>
      <c r="E34" s="304"/>
      <c r="F34" s="304"/>
      <c r="G34" s="304"/>
      <c r="H34" s="304"/>
      <c r="I34" s="304"/>
      <c r="J34" s="304"/>
      <c r="K34" s="304"/>
      <c r="L34" s="304"/>
      <c r="M34" s="304"/>
      <c r="N34" s="304"/>
    </row>
    <row r="35" spans="1:14" s="2" customFormat="1">
      <c r="A35" s="36"/>
      <c r="B35" s="385" t="s">
        <v>209</v>
      </c>
      <c r="C35" s="302"/>
      <c r="D35" s="304"/>
      <c r="E35" s="304"/>
      <c r="F35" s="304"/>
      <c r="G35" s="304"/>
      <c r="H35" s="304"/>
      <c r="I35" s="304"/>
      <c r="J35" s="304"/>
      <c r="K35" s="304"/>
      <c r="L35" s="304"/>
      <c r="M35" s="304"/>
      <c r="N35" s="304"/>
    </row>
    <row r="36" spans="1:14" s="2" customFormat="1">
      <c r="A36" s="36"/>
      <c r="B36" s="385" t="s">
        <v>202</v>
      </c>
      <c r="C36" s="302"/>
      <c r="D36" s="304"/>
      <c r="E36" s="304"/>
      <c r="F36" s="304"/>
      <c r="G36" s="304"/>
      <c r="H36" s="304"/>
      <c r="I36" s="304"/>
      <c r="J36" s="304"/>
      <c r="K36" s="304"/>
      <c r="L36" s="304"/>
      <c r="M36" s="304"/>
      <c r="N36" s="304"/>
    </row>
    <row r="37" spans="1:14" s="2" customFormat="1">
      <c r="A37" s="36"/>
      <c r="B37" s="385" t="s">
        <v>208</v>
      </c>
      <c r="C37" s="302"/>
      <c r="D37" s="304"/>
      <c r="E37" s="304"/>
      <c r="F37" s="304"/>
      <c r="G37" s="304"/>
      <c r="H37" s="304"/>
      <c r="I37" s="304"/>
      <c r="J37" s="304"/>
      <c r="K37" s="304"/>
      <c r="L37" s="304"/>
      <c r="M37" s="304"/>
      <c r="N37" s="304"/>
    </row>
    <row r="38" spans="1:14" s="2" customFormat="1">
      <c r="B38" s="12"/>
      <c r="C38" s="142"/>
    </row>
    <row r="39" spans="1:14" s="2" customFormat="1">
      <c r="A39" s="166" t="str">
        <f t="shared" ref="A39:A45" si="3">A11</f>
        <v>a</v>
      </c>
      <c r="B39" s="36" t="str">
        <f>$B$11&amp;""</f>
        <v>Broad measure of customer service</v>
      </c>
      <c r="C39" s="161" t="str">
        <f>'RFPR cover'!$C$14</f>
        <v>£m 12/13</v>
      </c>
      <c r="D39" s="694">
        <f>D51</f>
        <v>2.0812950000000008</v>
      </c>
      <c r="E39" s="694">
        <f t="shared" ref="E39:K39" si="4">E51</f>
        <v>2.0447235000000004</v>
      </c>
      <c r="F39" s="694">
        <f t="shared" si="4"/>
        <v>2.2938228000000032</v>
      </c>
      <c r="G39" s="694">
        <f t="shared" si="4"/>
        <v>2.3385126893888595</v>
      </c>
      <c r="H39" s="694">
        <f t="shared" si="4"/>
        <v>2.573</v>
      </c>
      <c r="I39" s="694">
        <f t="shared" si="4"/>
        <v>2.573</v>
      </c>
      <c r="J39" s="694">
        <f t="shared" si="4"/>
        <v>2.573</v>
      </c>
      <c r="K39" s="694">
        <f t="shared" si="4"/>
        <v>2.573</v>
      </c>
      <c r="L39" s="694">
        <f>SUM(D39:INDEX(D39:K39,0,MATCH('RFPR cover'!$C$7,$D$6:$K$6,0)))</f>
        <v>8.758353989388862</v>
      </c>
      <c r="M39" s="695">
        <f t="shared" ref="M39:M45" si="5">SUM(D39:K39)</f>
        <v>19.050353989388864</v>
      </c>
    </row>
    <row r="40" spans="1:14" s="2" customFormat="1">
      <c r="A40" s="166" t="str">
        <f t="shared" si="3"/>
        <v>b</v>
      </c>
      <c r="B40" s="36" t="str">
        <f>$B$12&amp;""</f>
        <v>Interruptions-related quality of service</v>
      </c>
      <c r="C40" s="161" t="str">
        <f>'RFPR cover'!$C$14</f>
        <v>£m 12/13</v>
      </c>
      <c r="D40" s="694">
        <f>D55</f>
        <v>5.2444062140625034</v>
      </c>
      <c r="E40" s="694">
        <f t="shared" ref="E40:K40" si="6">E55</f>
        <v>8.1576331874999983</v>
      </c>
      <c r="F40" s="694">
        <f t="shared" si="6"/>
        <v>7.1498568083333351</v>
      </c>
      <c r="G40" s="694">
        <f t="shared" si="6"/>
        <v>4.143521481554405</v>
      </c>
      <c r="H40" s="694">
        <f t="shared" si="6"/>
        <v>5.3949999999999996</v>
      </c>
      <c r="I40" s="694">
        <f t="shared" si="6"/>
        <v>4.8762499999999998</v>
      </c>
      <c r="J40" s="694">
        <f t="shared" si="6"/>
        <v>4.3574999999999999</v>
      </c>
      <c r="K40" s="694">
        <f t="shared" si="6"/>
        <v>3.32</v>
      </c>
      <c r="L40" s="698">
        <f>SUM(D40:INDEX(D40:K40,0,MATCH('RFPR cover'!$C$7,$D$6:$K$6,0)))</f>
        <v>24.695417691450242</v>
      </c>
      <c r="M40" s="699">
        <f t="shared" si="5"/>
        <v>42.644167691450242</v>
      </c>
    </row>
    <row r="41" spans="1:14" s="2" customFormat="1">
      <c r="A41" s="166" t="str">
        <f t="shared" si="3"/>
        <v>c</v>
      </c>
      <c r="B41" s="36" t="str">
        <f>$B$13&amp;""</f>
        <v>Incentive on connections engagement</v>
      </c>
      <c r="C41" s="161" t="str">
        <f>'RFPR cover'!$C$14</f>
        <v>£m 12/13</v>
      </c>
      <c r="D41" s="694">
        <f>D59</f>
        <v>0</v>
      </c>
      <c r="E41" s="694">
        <f t="shared" ref="E41:K41" si="7">E59</f>
        <v>0</v>
      </c>
      <c r="F41" s="694">
        <f t="shared" si="7"/>
        <v>0</v>
      </c>
      <c r="G41" s="694">
        <f t="shared" si="7"/>
        <v>0</v>
      </c>
      <c r="H41" s="694">
        <f t="shared" si="7"/>
        <v>0</v>
      </c>
      <c r="I41" s="694">
        <f t="shared" si="7"/>
        <v>0</v>
      </c>
      <c r="J41" s="694">
        <f t="shared" si="7"/>
        <v>0</v>
      </c>
      <c r="K41" s="694">
        <f t="shared" si="7"/>
        <v>0</v>
      </c>
      <c r="L41" s="698">
        <f>SUM(D41:INDEX(D41:K41,0,MATCH('RFPR cover'!$C$7,$D$6:$K$6,0)))</f>
        <v>0</v>
      </c>
      <c r="M41" s="699">
        <f t="shared" si="5"/>
        <v>0</v>
      </c>
    </row>
    <row r="42" spans="1:14" s="2" customFormat="1">
      <c r="A42" s="166" t="str">
        <f t="shared" si="3"/>
        <v>d</v>
      </c>
      <c r="B42" s="36" t="str">
        <f>$B$14&amp;""</f>
        <v>Time to Connect Incentive</v>
      </c>
      <c r="C42" s="161" t="str">
        <f>'RFPR cover'!$C$14</f>
        <v>£m 12/13</v>
      </c>
      <c r="D42" s="694">
        <f>D63</f>
        <v>0.77922372513917015</v>
      </c>
      <c r="E42" s="694">
        <f t="shared" ref="E42:K42" si="8">E63</f>
        <v>0.48599999999999999</v>
      </c>
      <c r="F42" s="694">
        <f t="shared" si="8"/>
        <v>0.48599999999999999</v>
      </c>
      <c r="G42" s="694">
        <f t="shared" si="8"/>
        <v>0.49799999999999994</v>
      </c>
      <c r="H42" s="694">
        <f t="shared" si="8"/>
        <v>0.49799999999999994</v>
      </c>
      <c r="I42" s="694">
        <f t="shared" si="8"/>
        <v>0.49799999999999994</v>
      </c>
      <c r="J42" s="694">
        <f t="shared" si="8"/>
        <v>0.49799999999999994</v>
      </c>
      <c r="K42" s="694">
        <f t="shared" si="8"/>
        <v>0.49799999999999994</v>
      </c>
      <c r="L42" s="698">
        <f>SUM(D42:INDEX(D42:K42,0,MATCH('RFPR cover'!$C$7,$D$6:$K$6,0)))</f>
        <v>2.2492237251391702</v>
      </c>
      <c r="M42" s="699">
        <f t="shared" si="5"/>
        <v>4.2412237251391698</v>
      </c>
    </row>
    <row r="43" spans="1:14" s="2" customFormat="1">
      <c r="A43" s="166" t="str">
        <f t="shared" si="3"/>
        <v>e</v>
      </c>
      <c r="B43" s="36" t="str">
        <f>$B$15&amp;""</f>
        <v>Losses discretionary reward scheme</v>
      </c>
      <c r="C43" s="161" t="str">
        <f>'RFPR cover'!$C$14</f>
        <v>£m 12/13</v>
      </c>
      <c r="D43" s="694">
        <f>D67</f>
        <v>0</v>
      </c>
      <c r="E43" s="694">
        <f t="shared" ref="E43:K43" si="9">E67</f>
        <v>0.31185000000000002</v>
      </c>
      <c r="F43" s="694">
        <f t="shared" si="9"/>
        <v>0</v>
      </c>
      <c r="G43" s="694">
        <f t="shared" si="9"/>
        <v>0</v>
      </c>
      <c r="H43" s="694">
        <f t="shared" si="9"/>
        <v>0</v>
      </c>
      <c r="I43" s="694">
        <f t="shared" si="9"/>
        <v>0.48388999999999993</v>
      </c>
      <c r="J43" s="694">
        <f t="shared" si="9"/>
        <v>0</v>
      </c>
      <c r="K43" s="694">
        <f t="shared" si="9"/>
        <v>0</v>
      </c>
      <c r="L43" s="698">
        <f>SUM(D43:INDEX(D43:K43,0,MATCH('RFPR cover'!$C$7,$D$6:$K$6,0)))</f>
        <v>0.31185000000000002</v>
      </c>
      <c r="M43" s="699">
        <f t="shared" si="5"/>
        <v>0.79573999999999989</v>
      </c>
    </row>
    <row r="44" spans="1:14" s="2" customFormat="1">
      <c r="A44" s="166" t="str">
        <f t="shared" si="3"/>
        <v>f</v>
      </c>
      <c r="B44" s="36" t="str">
        <f>$B$16&amp;""</f>
        <v/>
      </c>
      <c r="C44" s="161" t="str">
        <f>'RFPR cover'!$C$14</f>
        <v>£m 12/13</v>
      </c>
      <c r="D44" s="694">
        <f>D71</f>
        <v>0</v>
      </c>
      <c r="E44" s="694">
        <f t="shared" ref="E44:K44" si="10">E71</f>
        <v>0</v>
      </c>
      <c r="F44" s="694">
        <f t="shared" si="10"/>
        <v>0</v>
      </c>
      <c r="G44" s="694">
        <f t="shared" si="10"/>
        <v>0</v>
      </c>
      <c r="H44" s="694">
        <f t="shared" si="10"/>
        <v>0</v>
      </c>
      <c r="I44" s="694">
        <f t="shared" si="10"/>
        <v>0</v>
      </c>
      <c r="J44" s="694">
        <f t="shared" si="10"/>
        <v>0</v>
      </c>
      <c r="K44" s="694">
        <f t="shared" si="10"/>
        <v>0</v>
      </c>
      <c r="L44" s="698">
        <f>SUM(D44:INDEX(D44:K44,0,MATCH('RFPR cover'!$C$7,$D$6:$K$6,0)))</f>
        <v>0</v>
      </c>
      <c r="M44" s="699">
        <f t="shared" si="5"/>
        <v>0</v>
      </c>
    </row>
    <row r="45" spans="1:14" s="2" customFormat="1">
      <c r="A45" s="166" t="str">
        <f t="shared" si="3"/>
        <v>g</v>
      </c>
      <c r="B45" s="36" t="str">
        <f>$B$17&amp;""</f>
        <v/>
      </c>
      <c r="C45" s="161" t="str">
        <f>'RFPR cover'!$C$14</f>
        <v>£m 12/13</v>
      </c>
      <c r="D45" s="694">
        <f>D75</f>
        <v>0</v>
      </c>
      <c r="E45" s="694">
        <f t="shared" ref="E45:K45" si="11">E75</f>
        <v>0</v>
      </c>
      <c r="F45" s="694">
        <f t="shared" si="11"/>
        <v>0</v>
      </c>
      <c r="G45" s="694">
        <f t="shared" si="11"/>
        <v>0</v>
      </c>
      <c r="H45" s="694">
        <f t="shared" si="11"/>
        <v>0</v>
      </c>
      <c r="I45" s="694">
        <f t="shared" si="11"/>
        <v>0</v>
      </c>
      <c r="J45" s="694">
        <f t="shared" si="11"/>
        <v>0</v>
      </c>
      <c r="K45" s="694">
        <f t="shared" si="11"/>
        <v>0</v>
      </c>
      <c r="L45" s="698">
        <f>SUM(D45:INDEX(D45:K45,0,MATCH('RFPR cover'!$C$7,$D$6:$K$6,0)))</f>
        <v>0</v>
      </c>
      <c r="M45" s="699">
        <f t="shared" si="5"/>
        <v>0</v>
      </c>
    </row>
    <row r="46" spans="1:14" s="2" customFormat="1">
      <c r="B46" s="12" t="s">
        <v>204</v>
      </c>
      <c r="C46" s="162" t="str">
        <f>'RFPR cover'!$C$14</f>
        <v>£m 12/13</v>
      </c>
      <c r="D46" s="634">
        <f>SUM(D39:D45)</f>
        <v>8.1049249392016751</v>
      </c>
      <c r="E46" s="634">
        <f t="shared" ref="E46:M46" si="12">SUM(E39:E45)</f>
        <v>11.000206687499999</v>
      </c>
      <c r="F46" s="634">
        <f t="shared" si="12"/>
        <v>9.9296796083333394</v>
      </c>
      <c r="G46" s="634">
        <f t="shared" si="12"/>
        <v>6.9800341709432647</v>
      </c>
      <c r="H46" s="635">
        <f t="shared" si="12"/>
        <v>8.4659999999999993</v>
      </c>
      <c r="I46" s="635">
        <f t="shared" si="12"/>
        <v>8.4311399999999992</v>
      </c>
      <c r="J46" s="635">
        <f t="shared" si="12"/>
        <v>7.4285000000000005</v>
      </c>
      <c r="K46" s="635">
        <f t="shared" si="12"/>
        <v>6.391</v>
      </c>
      <c r="L46" s="634">
        <f t="shared" si="12"/>
        <v>36.014845405978271</v>
      </c>
      <c r="M46" s="634">
        <f t="shared" si="12"/>
        <v>66.731485405978262</v>
      </c>
    </row>
    <row r="47" spans="1:14" s="2" customFormat="1">
      <c r="B47" s="12"/>
      <c r="C47" s="162"/>
      <c r="D47" s="162"/>
      <c r="E47" s="162"/>
      <c r="F47" s="162"/>
      <c r="G47" s="162"/>
      <c r="H47" s="162"/>
      <c r="I47" s="162"/>
      <c r="J47" s="162"/>
      <c r="K47" s="162"/>
      <c r="L47" s="162"/>
      <c r="M47" s="162"/>
    </row>
    <row r="48" spans="1:14" s="2" customFormat="1">
      <c r="B48" s="12"/>
      <c r="C48" s="162"/>
      <c r="D48" s="167"/>
      <c r="E48" s="162"/>
      <c r="F48" s="162"/>
      <c r="G48" s="162"/>
      <c r="H48" s="162"/>
      <c r="I48" s="162"/>
      <c r="J48" s="162"/>
      <c r="K48" s="162"/>
      <c r="L48" s="162"/>
      <c r="M48" s="162"/>
    </row>
    <row r="49" spans="1:13" s="2" customFormat="1">
      <c r="A49" s="166" t="str">
        <f>$A$11</f>
        <v>a</v>
      </c>
      <c r="B49" s="178" t="str">
        <f>INDEX($B$11:$B$15,MATCH($A49,$A$11:$A$15,0),0)&amp;""</f>
        <v>Broad measure of customer service</v>
      </c>
      <c r="C49" s="161" t="str">
        <f>'RFPR cover'!$C$14</f>
        <v>£m 12/13</v>
      </c>
      <c r="D49" s="813">
        <f>INDEX($D$11:$K$17,MATCH($A49,$A$11:$A$17,0),0)</f>
        <v>2.5695000000000006</v>
      </c>
      <c r="E49" s="813">
        <f t="shared" ref="E49:K49" si="13">INDEX($D$11:$K$17,MATCH($A49,$A$11:$A$17,0),0)</f>
        <v>2.5243500000000001</v>
      </c>
      <c r="F49" s="813">
        <f t="shared" si="13"/>
        <v>2.8318800000000035</v>
      </c>
      <c r="G49" s="813">
        <f t="shared" si="13"/>
        <v>2.817485167938385</v>
      </c>
      <c r="H49" s="813">
        <f t="shared" si="13"/>
        <v>3.1</v>
      </c>
      <c r="I49" s="813">
        <f t="shared" si="13"/>
        <v>3.1</v>
      </c>
      <c r="J49" s="813">
        <f t="shared" si="13"/>
        <v>3.1</v>
      </c>
      <c r="K49" s="813">
        <f t="shared" si="13"/>
        <v>3.1</v>
      </c>
      <c r="L49" s="813">
        <f>SUM(D49:INDEX(D49:K49,0,MATCH('RFPR cover'!$C$7,$D$6:$K$6,0)))</f>
        <v>10.74321516793839</v>
      </c>
      <c r="M49" s="814">
        <f>SUM(D49:K49)</f>
        <v>23.143215167938394</v>
      </c>
    </row>
    <row r="50" spans="1:13" s="2" customFormat="1">
      <c r="A50" s="166"/>
      <c r="B50" s="36" t="s">
        <v>201</v>
      </c>
      <c r="C50" s="305" t="s">
        <v>202</v>
      </c>
      <c r="D50" s="919">
        <f>IF($C50=$B$33,$B$33,INDEX(Data!$G$14:$G$30,MATCH('R5 - Output Incentives'!D$6+RIGHT('R5 - Output Incentives'!$C50,2),Data!$C$14:$C$30,0),0))</f>
        <v>0.19</v>
      </c>
      <c r="E50" s="920">
        <f>IF($C50=$B$33,$B$33,INDEX(Data!$G$14:$G$30,MATCH('R5 - Output Incentives'!E$6+RIGHT('R5 - Output Incentives'!$C50,2),Data!$C$14:$C$30,0),0))</f>
        <v>0.19</v>
      </c>
      <c r="F50" s="920">
        <f>IF($C50=$B$33,$B$33,INDEX(Data!$G$14:$G$30,MATCH('R5 - Output Incentives'!F$6+RIGHT('R5 - Output Incentives'!$C50,2),Data!$C$14:$C$30,0),0))</f>
        <v>0.19</v>
      </c>
      <c r="G50" s="920">
        <f>IF($C50=$B$33,$B$33,INDEX(Data!$G$14:$G$30,MATCH('R5 - Output Incentives'!G$6+RIGHT('R5 - Output Incentives'!$C50,2),Data!$C$14:$C$30,0),0))</f>
        <v>0.17</v>
      </c>
      <c r="H50" s="920">
        <f>IF($C50=$B$33,$B$33,INDEX(Data!$G$14:$G$30,MATCH('R5 - Output Incentives'!H$6+RIGHT('R5 - Output Incentives'!$C50,2),Data!$C$14:$C$30,0),0))</f>
        <v>0.17</v>
      </c>
      <c r="I50" s="920">
        <f>IF($C50=$B$33,$B$33,INDEX(Data!$G$14:$G$30,MATCH('R5 - Output Incentives'!I$6+RIGHT('R5 - Output Incentives'!$C50,2),Data!$C$14:$C$30,0),0))</f>
        <v>0.17</v>
      </c>
      <c r="J50" s="920">
        <f>IF($C50=$B$33,$B$33,INDEX(Data!$G$14:$G$30,MATCH('R5 - Output Incentives'!J$6+RIGHT('R5 - Output Incentives'!$C50,2),Data!$C$14:$C$30,0),0))</f>
        <v>0.17</v>
      </c>
      <c r="K50" s="921">
        <f>IF($C50=$B$33,$B$33,INDEX(Data!$G$14:$G$30,MATCH('R5 - Output Incentives'!K$6+RIGHT('R5 - Output Incentives'!$C50,2),Data!$C$14:$C$30,0),0))</f>
        <v>0.17</v>
      </c>
      <c r="L50" s="815"/>
      <c r="M50" s="816"/>
    </row>
    <row r="51" spans="1:13" s="2" customFormat="1">
      <c r="A51" s="166"/>
      <c r="B51" s="36" t="s">
        <v>210</v>
      </c>
      <c r="C51" s="161"/>
      <c r="D51" s="634">
        <f>IFERROR(D49*(1-D50),0)</f>
        <v>2.0812950000000008</v>
      </c>
      <c r="E51" s="635">
        <f t="shared" ref="E51:K51" si="14">IFERROR(E49*(1-E50),0)</f>
        <v>2.0447235000000004</v>
      </c>
      <c r="F51" s="635">
        <f t="shared" si="14"/>
        <v>2.2938228000000032</v>
      </c>
      <c r="G51" s="635">
        <f t="shared" si="14"/>
        <v>2.3385126893888595</v>
      </c>
      <c r="H51" s="635">
        <f t="shared" si="14"/>
        <v>2.573</v>
      </c>
      <c r="I51" s="635">
        <f t="shared" si="14"/>
        <v>2.573</v>
      </c>
      <c r="J51" s="635">
        <f t="shared" si="14"/>
        <v>2.573</v>
      </c>
      <c r="K51" s="635">
        <f t="shared" si="14"/>
        <v>2.573</v>
      </c>
      <c r="L51" s="692">
        <f>SUM(D51:INDEX(D51:K51,0,MATCH('RFPR cover'!$C$7,$D$6:$K$6,0)))</f>
        <v>8.758353989388862</v>
      </c>
      <c r="M51" s="693">
        <f>SUM(D51:K51)</f>
        <v>19.050353989388864</v>
      </c>
    </row>
    <row r="52" spans="1:13" s="2" customFormat="1">
      <c r="A52" s="166"/>
      <c r="B52" s="52"/>
      <c r="C52" s="162"/>
      <c r="D52" s="162"/>
      <c r="E52" s="162"/>
      <c r="F52" s="162"/>
      <c r="G52" s="162"/>
      <c r="H52" s="162"/>
      <c r="I52" s="162"/>
      <c r="J52" s="162"/>
      <c r="K52" s="162"/>
      <c r="L52" s="162"/>
      <c r="M52" s="162"/>
    </row>
    <row r="53" spans="1:13" s="2" customFormat="1">
      <c r="A53" s="166" t="str">
        <f>$A$12</f>
        <v>b</v>
      </c>
      <c r="B53" s="178" t="str">
        <f>INDEX($B$11:$B$15,MATCH($A53,$A$11:$A$15,0),0)&amp;""</f>
        <v>Interruptions-related quality of service</v>
      </c>
      <c r="C53" s="161" t="str">
        <f>'RFPR cover'!$C$14</f>
        <v>£m 12/13</v>
      </c>
      <c r="D53" s="813">
        <f>INDEX($D$11:$K$17,MATCH($A53,$A$11:$A$17,0),0)</f>
        <v>6.4745755729166703</v>
      </c>
      <c r="E53" s="813">
        <f t="shared" ref="E53:K53" si="15">INDEX($D$11:$K$17,MATCH($A53,$A$11:$A$17,0),0)</f>
        <v>10.071152083333331</v>
      </c>
      <c r="F53" s="813">
        <f t="shared" si="15"/>
        <v>8.8269837139917708</v>
      </c>
      <c r="G53" s="813">
        <f t="shared" si="15"/>
        <v>4.992194556089645</v>
      </c>
      <c r="H53" s="813">
        <f t="shared" si="15"/>
        <v>6.5</v>
      </c>
      <c r="I53" s="813">
        <f t="shared" si="15"/>
        <v>5.875</v>
      </c>
      <c r="J53" s="813">
        <f t="shared" si="15"/>
        <v>5.25</v>
      </c>
      <c r="K53" s="813">
        <f t="shared" si="15"/>
        <v>4</v>
      </c>
      <c r="L53" s="694">
        <f>SUM(D53:INDEX(D53:K53,0,MATCH('RFPR cover'!$C$7,$D$6:$K$6,0)))</f>
        <v>30.364905926331417</v>
      </c>
      <c r="M53" s="695">
        <f>SUM(D53:K53)</f>
        <v>51.989905926331417</v>
      </c>
    </row>
    <row r="54" spans="1:13" s="2" customFormat="1">
      <c r="A54" s="166"/>
      <c r="B54" s="36" t="s">
        <v>201</v>
      </c>
      <c r="C54" s="305" t="s">
        <v>202</v>
      </c>
      <c r="D54" s="919">
        <f>IF($C54=$B$33,$B$33,INDEX(Data!$G$14:$G$30,MATCH('R5 - Output Incentives'!D$6+RIGHT('R5 - Output Incentives'!$C54,2),Data!$C$14:$C$30,0),0))</f>
        <v>0.19</v>
      </c>
      <c r="E54" s="920">
        <f>IF($C54=$B$33,$B$33,INDEX(Data!$G$14:$G$30,MATCH('R5 - Output Incentives'!E$6+RIGHT('R5 - Output Incentives'!$C54,2),Data!$C$14:$C$30,0),0))</f>
        <v>0.19</v>
      </c>
      <c r="F54" s="920">
        <f>IF($C54=$B$33,$B$33,INDEX(Data!$G$14:$G$30,MATCH('R5 - Output Incentives'!F$6+RIGHT('R5 - Output Incentives'!$C54,2),Data!$C$14:$C$30,0),0))</f>
        <v>0.19</v>
      </c>
      <c r="G54" s="920">
        <f>IF($C54=$B$33,$B$33,INDEX(Data!$G$14:$G$30,MATCH('R5 - Output Incentives'!G$6+RIGHT('R5 - Output Incentives'!$C54,2),Data!$C$14:$C$30,0),0))</f>
        <v>0.17</v>
      </c>
      <c r="H54" s="920">
        <f>IF($C54=$B$33,$B$33,INDEX(Data!$G$14:$G$30,MATCH('R5 - Output Incentives'!H$6+RIGHT('R5 - Output Incentives'!$C54,2),Data!$C$14:$C$30,0),0))</f>
        <v>0.17</v>
      </c>
      <c r="I54" s="920">
        <f>IF($C54=$B$33,$B$33,INDEX(Data!$G$14:$G$30,MATCH('R5 - Output Incentives'!I$6+RIGHT('R5 - Output Incentives'!$C54,2),Data!$C$14:$C$30,0),0))</f>
        <v>0.17</v>
      </c>
      <c r="J54" s="920">
        <f>IF($C54=$B$33,$B$33,INDEX(Data!$G$14:$G$30,MATCH('R5 - Output Incentives'!J$6+RIGHT('R5 - Output Incentives'!$C54,2),Data!$C$14:$C$30,0),0))</f>
        <v>0.17</v>
      </c>
      <c r="K54" s="921">
        <f>IF($C54=$B$33,$B$33,INDEX(Data!$G$14:$G$30,MATCH('R5 - Output Incentives'!K$6+RIGHT('R5 - Output Incentives'!$C54,2),Data!$C$14:$C$30,0),0))</f>
        <v>0.17</v>
      </c>
      <c r="L54" s="815"/>
      <c r="M54" s="816"/>
    </row>
    <row r="55" spans="1:13" s="2" customFormat="1">
      <c r="A55" s="166"/>
      <c r="B55" s="36" t="s">
        <v>210</v>
      </c>
      <c r="C55" s="161"/>
      <c r="D55" s="634">
        <f>IFERROR(D53*(1-D54),0)</f>
        <v>5.2444062140625034</v>
      </c>
      <c r="E55" s="635">
        <f t="shared" ref="E55:K55" si="16">IFERROR(E53*(1-E54),0)</f>
        <v>8.1576331874999983</v>
      </c>
      <c r="F55" s="635">
        <f t="shared" si="16"/>
        <v>7.1498568083333351</v>
      </c>
      <c r="G55" s="635">
        <f t="shared" si="16"/>
        <v>4.143521481554405</v>
      </c>
      <c r="H55" s="635">
        <f t="shared" si="16"/>
        <v>5.3949999999999996</v>
      </c>
      <c r="I55" s="635">
        <f t="shared" si="16"/>
        <v>4.8762499999999998</v>
      </c>
      <c r="J55" s="635">
        <f t="shared" si="16"/>
        <v>4.3574999999999999</v>
      </c>
      <c r="K55" s="635">
        <f t="shared" si="16"/>
        <v>3.32</v>
      </c>
      <c r="L55" s="692">
        <f>SUM(D55:INDEX(D55:K55,0,MATCH('RFPR cover'!$C$7,$D$6:$K$6,0)))</f>
        <v>24.695417691450242</v>
      </c>
      <c r="M55" s="693">
        <f>SUM(D55:K55)</f>
        <v>42.644167691450242</v>
      </c>
    </row>
    <row r="56" spans="1:13" s="2" customFormat="1">
      <c r="A56" s="166"/>
      <c r="B56" s="52"/>
      <c r="C56" s="162"/>
      <c r="D56" s="162"/>
      <c r="E56" s="162"/>
      <c r="F56" s="162"/>
      <c r="G56" s="162"/>
      <c r="H56" s="162"/>
      <c r="I56" s="162"/>
      <c r="J56" s="162"/>
      <c r="K56" s="162"/>
      <c r="L56" s="162"/>
      <c r="M56" s="162"/>
    </row>
    <row r="57" spans="1:13" s="2" customFormat="1">
      <c r="A57" s="166" t="str">
        <f>$A$13</f>
        <v>c</v>
      </c>
      <c r="B57" s="178" t="str">
        <f>INDEX($B$11:$B$15,MATCH($A57,$A$11:$A$15,0),0)&amp;""</f>
        <v>Incentive on connections engagement</v>
      </c>
      <c r="C57" s="161" t="str">
        <f>'RFPR cover'!$C$14</f>
        <v>£m 12/13</v>
      </c>
      <c r="D57" s="813">
        <f>INDEX($D$11:$K$17,MATCH($A57,$A$11:$A$17,0),0)</f>
        <v>0</v>
      </c>
      <c r="E57" s="813">
        <f t="shared" ref="E57:K57" si="17">INDEX($D$11:$K$17,MATCH($A57,$A$11:$A$17,0),0)</f>
        <v>0</v>
      </c>
      <c r="F57" s="813">
        <f t="shared" si="17"/>
        <v>0</v>
      </c>
      <c r="G57" s="813">
        <f t="shared" si="17"/>
        <v>0</v>
      </c>
      <c r="H57" s="813">
        <f t="shared" si="17"/>
        <v>0</v>
      </c>
      <c r="I57" s="813">
        <f t="shared" si="17"/>
        <v>0</v>
      </c>
      <c r="J57" s="813">
        <f t="shared" si="17"/>
        <v>0</v>
      </c>
      <c r="K57" s="813">
        <f t="shared" si="17"/>
        <v>0</v>
      </c>
      <c r="L57" s="694">
        <f>SUM(D57:INDEX(D57:K57,0,MATCH('RFPR cover'!$C$7,$D$6:$K$6,0)))</f>
        <v>0</v>
      </c>
      <c r="M57" s="695">
        <f>SUM(D57:K57)</f>
        <v>0</v>
      </c>
    </row>
    <row r="58" spans="1:13" s="2" customFormat="1">
      <c r="A58" s="166"/>
      <c r="B58" s="36" t="s">
        <v>201</v>
      </c>
      <c r="C58" s="305" t="s">
        <v>208</v>
      </c>
      <c r="D58" s="919">
        <f>IF($C58=$B$33,$B$33,INDEX(Data!$G$14:$G$30,MATCH('R5 - Output Incentives'!D$6+RIGHT('R5 - Output Incentives'!$C58,2),Data!$C$14:$C$30,0),0))</f>
        <v>0.19</v>
      </c>
      <c r="E58" s="920">
        <f>IF($C58=$B$33,$B$33,INDEX(Data!$G$14:$G$30,MATCH('R5 - Output Incentives'!E$6+RIGHT('R5 - Output Incentives'!$C58,2),Data!$C$14:$C$30,0),0))</f>
        <v>0.19</v>
      </c>
      <c r="F58" s="920">
        <f>IF($C58=$B$33,$B$33,INDEX(Data!$G$14:$G$30,MATCH('R5 - Output Incentives'!F$6+RIGHT('R5 - Output Incentives'!$C58,2),Data!$C$14:$C$30,0),0))</f>
        <v>0.17</v>
      </c>
      <c r="G58" s="920">
        <f>IF($C58=$B$33,$B$33,INDEX(Data!$G$14:$G$30,MATCH('R5 - Output Incentives'!G$6+RIGHT('R5 - Output Incentives'!$C58,2),Data!$C$14:$C$30,0),0))</f>
        <v>0.17</v>
      </c>
      <c r="H58" s="920">
        <f>IF($C58=$B$33,$B$33,INDEX(Data!$G$14:$G$30,MATCH('R5 - Output Incentives'!H$6+RIGHT('R5 - Output Incentives'!$C58,2),Data!$C$14:$C$30,0),0))</f>
        <v>0.17</v>
      </c>
      <c r="I58" s="920">
        <f>IF($C58=$B$33,$B$33,INDEX(Data!$G$14:$G$30,MATCH('R5 - Output Incentives'!I$6+RIGHT('R5 - Output Incentives'!$C58,2),Data!$C$14:$C$30,0),0))</f>
        <v>0.17</v>
      </c>
      <c r="J58" s="920">
        <f>IF($C58=$B$33,$B$33,INDEX(Data!$G$14:$G$30,MATCH('R5 - Output Incentives'!J$6+RIGHT('R5 - Output Incentives'!$C58,2),Data!$C$14:$C$30,0),0))</f>
        <v>0.17</v>
      </c>
      <c r="K58" s="921">
        <f>IF($C58=$B$33,$B$33,INDEX(Data!$G$14:$G$30,MATCH('R5 - Output Incentives'!K$6+RIGHT('R5 - Output Incentives'!$C58,2),Data!$C$14:$C$30,0),0))</f>
        <v>0.17</v>
      </c>
      <c r="L58" s="815"/>
      <c r="M58" s="816"/>
    </row>
    <row r="59" spans="1:13" s="2" customFormat="1">
      <c r="A59" s="166"/>
      <c r="B59" s="36" t="s">
        <v>210</v>
      </c>
      <c r="C59" s="161"/>
      <c r="D59" s="634">
        <f>IFERROR(D57*(1-D58),0)</f>
        <v>0</v>
      </c>
      <c r="E59" s="635">
        <f t="shared" ref="E59:K59" si="18">IFERROR(E57*(1-E58),0)</f>
        <v>0</v>
      </c>
      <c r="F59" s="635">
        <f t="shared" si="18"/>
        <v>0</v>
      </c>
      <c r="G59" s="635">
        <f t="shared" si="18"/>
        <v>0</v>
      </c>
      <c r="H59" s="635">
        <f t="shared" si="18"/>
        <v>0</v>
      </c>
      <c r="I59" s="635">
        <f t="shared" si="18"/>
        <v>0</v>
      </c>
      <c r="J59" s="635">
        <f t="shared" si="18"/>
        <v>0</v>
      </c>
      <c r="K59" s="635">
        <f t="shared" si="18"/>
        <v>0</v>
      </c>
      <c r="L59" s="692">
        <f>SUM(D59:INDEX(D59:K59,0,MATCH('RFPR cover'!$C$7,$D$6:$K$6,0)))</f>
        <v>0</v>
      </c>
      <c r="M59" s="693">
        <f>SUM(D59:K59)</f>
        <v>0</v>
      </c>
    </row>
    <row r="60" spans="1:13" s="2" customFormat="1">
      <c r="A60" s="166"/>
      <c r="B60" s="52"/>
      <c r="C60" s="162"/>
      <c r="D60" s="162"/>
      <c r="E60" s="162"/>
      <c r="F60" s="162"/>
      <c r="G60" s="162"/>
      <c r="H60" s="162"/>
      <c r="I60" s="162"/>
      <c r="J60" s="162"/>
      <c r="K60" s="162"/>
      <c r="L60" s="162"/>
      <c r="M60" s="162"/>
    </row>
    <row r="61" spans="1:13" s="2" customFormat="1">
      <c r="A61" s="166" t="str">
        <f>$A$14</f>
        <v>d</v>
      </c>
      <c r="B61" s="178" t="str">
        <f>INDEX($B$11:$B$15,MATCH($A61,$A$11:$A$15,0),0)&amp;""</f>
        <v>Time to Connect Incentive</v>
      </c>
      <c r="C61" s="161" t="str">
        <f>'RFPR cover'!$C$14</f>
        <v>£m 12/13</v>
      </c>
      <c r="D61" s="813">
        <f>INDEX($D$11:$K$17,MATCH($A61,$A$11:$A$17,0),0)</f>
        <v>0.96200459893724699</v>
      </c>
      <c r="E61" s="813">
        <f t="shared" ref="E61:K61" si="19">INDEX($D$11:$K$17,MATCH($A61,$A$11:$A$17,0),0)</f>
        <v>0.6</v>
      </c>
      <c r="F61" s="813">
        <f t="shared" si="19"/>
        <v>0.6</v>
      </c>
      <c r="G61" s="813">
        <f t="shared" si="19"/>
        <v>0.6</v>
      </c>
      <c r="H61" s="813">
        <f t="shared" si="19"/>
        <v>0.6</v>
      </c>
      <c r="I61" s="813">
        <f t="shared" si="19"/>
        <v>0.6</v>
      </c>
      <c r="J61" s="813">
        <f t="shared" si="19"/>
        <v>0.6</v>
      </c>
      <c r="K61" s="813">
        <f t="shared" si="19"/>
        <v>0.6</v>
      </c>
      <c r="L61" s="694">
        <f>SUM(D61:INDEX(D61:K61,0,MATCH('RFPR cover'!$C$7,$D$6:$K$6,0)))</f>
        <v>2.762004598937247</v>
      </c>
      <c r="M61" s="695">
        <f>SUM(D61:K61)</f>
        <v>5.1620045989372469</v>
      </c>
    </row>
    <row r="62" spans="1:13" s="2" customFormat="1">
      <c r="A62" s="166"/>
      <c r="B62" s="36" t="s">
        <v>201</v>
      </c>
      <c r="C62" s="305" t="s">
        <v>202</v>
      </c>
      <c r="D62" s="919">
        <f>IF($C62=$B$33,$B$33,INDEX(Data!$G$14:$G$30,MATCH('R5 - Output Incentives'!D$6+RIGHT('R5 - Output Incentives'!$C62,2),Data!$C$14:$C$30,0),0))</f>
        <v>0.19</v>
      </c>
      <c r="E62" s="920">
        <f>IF($C62=$B$33,$B$33,INDEX(Data!$G$14:$G$30,MATCH('R5 - Output Incentives'!E$6+RIGHT('R5 - Output Incentives'!$C62,2),Data!$C$14:$C$30,0),0))</f>
        <v>0.19</v>
      </c>
      <c r="F62" s="920">
        <f>IF($C62=$B$33,$B$33,INDEX(Data!$G$14:$G$30,MATCH('R5 - Output Incentives'!F$6+RIGHT('R5 - Output Incentives'!$C62,2),Data!$C$14:$C$30,0),0))</f>
        <v>0.19</v>
      </c>
      <c r="G62" s="920">
        <f>IF($C62=$B$33,$B$33,INDEX(Data!$G$14:$G$30,MATCH('R5 - Output Incentives'!G$6+RIGHT('R5 - Output Incentives'!$C62,2),Data!$C$14:$C$30,0),0))</f>
        <v>0.17</v>
      </c>
      <c r="H62" s="920">
        <f>IF($C62=$B$33,$B$33,INDEX(Data!$G$14:$G$30,MATCH('R5 - Output Incentives'!H$6+RIGHT('R5 - Output Incentives'!$C62,2),Data!$C$14:$C$30,0),0))</f>
        <v>0.17</v>
      </c>
      <c r="I62" s="920">
        <f>IF($C62=$B$33,$B$33,INDEX(Data!$G$14:$G$30,MATCH('R5 - Output Incentives'!I$6+RIGHT('R5 - Output Incentives'!$C62,2),Data!$C$14:$C$30,0),0))</f>
        <v>0.17</v>
      </c>
      <c r="J62" s="920">
        <f>IF($C62=$B$33,$B$33,INDEX(Data!$G$14:$G$30,MATCH('R5 - Output Incentives'!J$6+RIGHT('R5 - Output Incentives'!$C62,2),Data!$C$14:$C$30,0),0))</f>
        <v>0.17</v>
      </c>
      <c r="K62" s="921">
        <f>IF($C62=$B$33,$B$33,INDEX(Data!$G$14:$G$30,MATCH('R5 - Output Incentives'!K$6+RIGHT('R5 - Output Incentives'!$C62,2),Data!$C$14:$C$30,0),0))</f>
        <v>0.17</v>
      </c>
      <c r="L62" s="815"/>
      <c r="M62" s="816"/>
    </row>
    <row r="63" spans="1:13" s="2" customFormat="1">
      <c r="A63" s="166"/>
      <c r="B63" s="36" t="s">
        <v>210</v>
      </c>
      <c r="C63" s="161"/>
      <c r="D63" s="634">
        <f>IFERROR(D61*(1-D62),0)</f>
        <v>0.77922372513917015</v>
      </c>
      <c r="E63" s="635">
        <f t="shared" ref="E63:K63" si="20">IFERROR(E61*(1-E62),0)</f>
        <v>0.48599999999999999</v>
      </c>
      <c r="F63" s="635">
        <f t="shared" si="20"/>
        <v>0.48599999999999999</v>
      </c>
      <c r="G63" s="635">
        <f t="shared" si="20"/>
        <v>0.49799999999999994</v>
      </c>
      <c r="H63" s="635">
        <f t="shared" si="20"/>
        <v>0.49799999999999994</v>
      </c>
      <c r="I63" s="635">
        <f t="shared" si="20"/>
        <v>0.49799999999999994</v>
      </c>
      <c r="J63" s="635">
        <f t="shared" si="20"/>
        <v>0.49799999999999994</v>
      </c>
      <c r="K63" s="635">
        <f t="shared" si="20"/>
        <v>0.49799999999999994</v>
      </c>
      <c r="L63" s="692">
        <f>SUM(D63:INDEX(D63:K63,0,MATCH('RFPR cover'!$C$7,$D$6:$K$6,0)))</f>
        <v>2.2492237251391702</v>
      </c>
      <c r="M63" s="693">
        <f>SUM(D63:K63)</f>
        <v>4.2412237251391698</v>
      </c>
    </row>
    <row r="64" spans="1:13" s="2" customFormat="1">
      <c r="A64" s="166"/>
      <c r="B64" s="52"/>
      <c r="C64" s="162"/>
      <c r="D64" s="162"/>
      <c r="E64" s="162"/>
      <c r="F64" s="162"/>
      <c r="G64" s="162"/>
      <c r="H64" s="162"/>
      <c r="I64" s="162"/>
      <c r="J64" s="162"/>
      <c r="K64" s="162"/>
      <c r="L64" s="162"/>
      <c r="M64" s="162"/>
    </row>
    <row r="65" spans="1:14" s="2" customFormat="1">
      <c r="A65" s="166" t="str">
        <f>$A$15</f>
        <v>e</v>
      </c>
      <c r="B65" s="178" t="str">
        <f>INDEX($B$11:$B$15,MATCH($A65,$A$11:$A$15,0),0)&amp;""</f>
        <v>Losses discretionary reward scheme</v>
      </c>
      <c r="C65" s="161" t="str">
        <f>'RFPR cover'!$C$14</f>
        <v>£m 12/13</v>
      </c>
      <c r="D65" s="813">
        <f>INDEX($D$11:$K$17,MATCH($A65,$A$11:$A$17,0),0)</f>
        <v>0</v>
      </c>
      <c r="E65" s="813">
        <f t="shared" ref="E65:K65" si="21">INDEX($D$11:$K$17,MATCH($A65,$A$11:$A$17,0),0)</f>
        <v>0.38500000000000001</v>
      </c>
      <c r="F65" s="813">
        <f t="shared" si="21"/>
        <v>0</v>
      </c>
      <c r="G65" s="813">
        <f t="shared" si="21"/>
        <v>0</v>
      </c>
      <c r="H65" s="813">
        <f t="shared" si="21"/>
        <v>0</v>
      </c>
      <c r="I65" s="813">
        <f t="shared" si="21"/>
        <v>0.58299999999999996</v>
      </c>
      <c r="J65" s="813">
        <f t="shared" si="21"/>
        <v>0</v>
      </c>
      <c r="K65" s="813">
        <f t="shared" si="21"/>
        <v>0</v>
      </c>
      <c r="L65" s="694">
        <f>SUM(D65:INDEX(D65:K65,0,MATCH('RFPR cover'!$C$7,$D$6:$K$6,0)))</f>
        <v>0.38500000000000001</v>
      </c>
      <c r="M65" s="695">
        <f>SUM(D65:K65)</f>
        <v>0.96799999999999997</v>
      </c>
    </row>
    <row r="66" spans="1:14" s="2" customFormat="1">
      <c r="A66" s="166"/>
      <c r="B66" s="36" t="s">
        <v>201</v>
      </c>
      <c r="C66" s="305" t="s">
        <v>209</v>
      </c>
      <c r="D66" s="919">
        <f>IF($C66=$B$33,$B$33,INDEX(Data!$G$14:$G$30,MATCH('R5 - Output Incentives'!D$6+RIGHT('R5 - Output Incentives'!$C66,2),Data!$C$14:$C$30,0),0))</f>
        <v>0.2</v>
      </c>
      <c r="E66" s="920">
        <f>IF($C66=$B$33,$B$33,INDEX(Data!$G$14:$G$30,MATCH('R5 - Output Incentives'!E$6+RIGHT('R5 - Output Incentives'!$C66,2),Data!$C$14:$C$30,0),0))</f>
        <v>0.19</v>
      </c>
      <c r="F66" s="920">
        <f>IF($C66=$B$33,$B$33,INDEX(Data!$G$14:$G$30,MATCH('R5 - Output Incentives'!F$6+RIGHT('R5 - Output Incentives'!$C66,2),Data!$C$14:$C$30,0),0))</f>
        <v>0.19</v>
      </c>
      <c r="G66" s="920">
        <f>IF($C66=$B$33,$B$33,INDEX(Data!$G$14:$G$30,MATCH('R5 - Output Incentives'!G$6+RIGHT('R5 - Output Incentives'!$C66,2),Data!$C$14:$C$30,0),0))</f>
        <v>0.19</v>
      </c>
      <c r="H66" s="920">
        <f>IF($C66=$B$33,$B$33,INDEX(Data!$G$14:$G$30,MATCH('R5 - Output Incentives'!H$6+RIGHT('R5 - Output Incentives'!$C66,2),Data!$C$14:$C$30,0),0))</f>
        <v>0.17</v>
      </c>
      <c r="I66" s="920">
        <f>IF($C66=$B$33,$B$33,INDEX(Data!$G$14:$G$30,MATCH('R5 - Output Incentives'!I$6+RIGHT('R5 - Output Incentives'!$C66,2),Data!$C$14:$C$30,0),0))</f>
        <v>0.17</v>
      </c>
      <c r="J66" s="920">
        <f>IF($C66=$B$33,$B$33,INDEX(Data!$G$14:$G$30,MATCH('R5 - Output Incentives'!J$6+RIGHT('R5 - Output Incentives'!$C66,2),Data!$C$14:$C$30,0),0))</f>
        <v>0.17</v>
      </c>
      <c r="K66" s="921">
        <f>IF($C66=$B$33,$B$33,INDEX(Data!$G$14:$G$30,MATCH('R5 - Output Incentives'!K$6+RIGHT('R5 - Output Incentives'!$C66,2),Data!$C$14:$C$30,0),0))</f>
        <v>0.17</v>
      </c>
      <c r="L66" s="815"/>
      <c r="M66" s="816"/>
    </row>
    <row r="67" spans="1:14" s="2" customFormat="1">
      <c r="A67" s="166"/>
      <c r="B67" s="36" t="s">
        <v>210</v>
      </c>
      <c r="C67" s="161"/>
      <c r="D67" s="634">
        <f>IFERROR(D65*(1-D66),0)</f>
        <v>0</v>
      </c>
      <c r="E67" s="635">
        <f t="shared" ref="E67:K67" si="22">IFERROR(E65*(1-E66),0)</f>
        <v>0.31185000000000002</v>
      </c>
      <c r="F67" s="635">
        <f t="shared" si="22"/>
        <v>0</v>
      </c>
      <c r="G67" s="635">
        <f t="shared" si="22"/>
        <v>0</v>
      </c>
      <c r="H67" s="635">
        <f t="shared" si="22"/>
        <v>0</v>
      </c>
      <c r="I67" s="635">
        <f t="shared" si="22"/>
        <v>0.48388999999999993</v>
      </c>
      <c r="J67" s="635">
        <f t="shared" si="22"/>
        <v>0</v>
      </c>
      <c r="K67" s="635">
        <f t="shared" si="22"/>
        <v>0</v>
      </c>
      <c r="L67" s="692">
        <f>SUM(D67:INDEX(D67:K67,0,MATCH('RFPR cover'!$C$7,$D$6:$K$6,0)))</f>
        <v>0.31185000000000002</v>
      </c>
      <c r="M67" s="693">
        <f>SUM(D67:K67)</f>
        <v>0.79573999999999989</v>
      </c>
    </row>
    <row r="68" spans="1:14" s="2" customFormat="1">
      <c r="A68" s="166"/>
      <c r="B68" s="52"/>
      <c r="C68" s="162"/>
      <c r="D68" s="162"/>
      <c r="E68" s="162"/>
      <c r="F68" s="162"/>
      <c r="G68" s="162"/>
      <c r="H68" s="162"/>
      <c r="I68" s="162"/>
      <c r="J68" s="162"/>
      <c r="K68" s="162"/>
      <c r="L68" s="162"/>
      <c r="M68" s="162"/>
    </row>
    <row r="69" spans="1:14" s="2" customFormat="1">
      <c r="A69" s="166" t="str">
        <f>$A$16</f>
        <v>f</v>
      </c>
      <c r="B69" s="178" t="str">
        <f>INDEX($B$11:$B$17,MATCH($A69,$A$11:$A$17,0),0)&amp;""</f>
        <v/>
      </c>
      <c r="C69" s="161" t="str">
        <f>'RFPR cover'!$C$14</f>
        <v>£m 12/13</v>
      </c>
      <c r="D69" s="813">
        <f>INDEX($D$11:$K$17,MATCH($A69,$A$11:$A$17,0),0)</f>
        <v>0</v>
      </c>
      <c r="E69" s="813">
        <f t="shared" ref="E69:K69" si="23">INDEX($D$11:$K$17,MATCH($A69,$A$11:$A$17,0),0)</f>
        <v>0</v>
      </c>
      <c r="F69" s="813">
        <f t="shared" si="23"/>
        <v>0</v>
      </c>
      <c r="G69" s="813">
        <f t="shared" si="23"/>
        <v>0</v>
      </c>
      <c r="H69" s="813">
        <f t="shared" si="23"/>
        <v>0</v>
      </c>
      <c r="I69" s="813">
        <f t="shared" si="23"/>
        <v>0</v>
      </c>
      <c r="J69" s="813">
        <f t="shared" si="23"/>
        <v>0</v>
      </c>
      <c r="K69" s="813">
        <f t="shared" si="23"/>
        <v>0</v>
      </c>
      <c r="L69" s="694">
        <f>SUM(D69:INDEX(D69:K69,0,MATCH('RFPR cover'!$C$7,$D$6:$K$6,0)))</f>
        <v>0</v>
      </c>
      <c r="M69" s="695">
        <f>SUM(D69:K69)</f>
        <v>0</v>
      </c>
    </row>
    <row r="70" spans="1:14" s="2" customFormat="1">
      <c r="A70" s="166"/>
      <c r="B70" s="36" t="s">
        <v>201</v>
      </c>
      <c r="C70" s="305" t="s">
        <v>241</v>
      </c>
      <c r="D70" s="919" t="str">
        <f>IF($C70=$B$33,$B$33,INDEX(Data!$G$14:$G$30,MATCH('R5 - Output Incentives'!D$6+RIGHT('R5 - Output Incentives'!$C70,2),Data!$C$14:$C$30,0),0))</f>
        <v>-</v>
      </c>
      <c r="E70" s="920" t="str">
        <f>IF($C70=$B$33,$B$33,INDEX(Data!$G$14:$G$30,MATCH('R5 - Output Incentives'!E$6+RIGHT('R5 - Output Incentives'!$C70,2),Data!$C$14:$C$30,0),0))</f>
        <v>-</v>
      </c>
      <c r="F70" s="920" t="str">
        <f>IF($C70=$B$33,$B$33,INDEX(Data!$G$14:$G$30,MATCH('R5 - Output Incentives'!F$6+RIGHT('R5 - Output Incentives'!$C70,2),Data!$C$14:$C$30,0),0))</f>
        <v>-</v>
      </c>
      <c r="G70" s="920" t="str">
        <f>IF($C70=$B$33,$B$33,INDEX(Data!$G$14:$G$30,MATCH('R5 - Output Incentives'!G$6+RIGHT('R5 - Output Incentives'!$C70,2),Data!$C$14:$C$30,0),0))</f>
        <v>-</v>
      </c>
      <c r="H70" s="920" t="str">
        <f>IF($C70=$B$33,$B$33,INDEX(Data!$G$14:$G$30,MATCH('R5 - Output Incentives'!H$6+RIGHT('R5 - Output Incentives'!$C70,2),Data!$C$14:$C$30,0),0))</f>
        <v>-</v>
      </c>
      <c r="I70" s="920" t="str">
        <f>IF($C70=$B$33,$B$33,INDEX(Data!$G$14:$G$30,MATCH('R5 - Output Incentives'!I$6+RIGHT('R5 - Output Incentives'!$C70,2),Data!$C$14:$C$30,0),0))</f>
        <v>-</v>
      </c>
      <c r="J70" s="920" t="str">
        <f>IF($C70=$B$33,$B$33,INDEX(Data!$G$14:$G$30,MATCH('R5 - Output Incentives'!J$6+RIGHT('R5 - Output Incentives'!$C70,2),Data!$C$14:$C$30,0),0))</f>
        <v>-</v>
      </c>
      <c r="K70" s="921" t="str">
        <f>IF($C70=$B$33,$B$33,INDEX(Data!$G$14:$G$30,MATCH('R5 - Output Incentives'!K$6+RIGHT('R5 - Output Incentives'!$C70,2),Data!$C$14:$C$30,0),0))</f>
        <v>-</v>
      </c>
      <c r="L70" s="815"/>
      <c r="M70" s="816"/>
    </row>
    <row r="71" spans="1:14" s="2" customFormat="1">
      <c r="A71" s="166"/>
      <c r="B71" s="36" t="s">
        <v>210</v>
      </c>
      <c r="C71" s="161"/>
      <c r="D71" s="634">
        <f>IFERROR(D69*(1-D70),0)</f>
        <v>0</v>
      </c>
      <c r="E71" s="635">
        <f t="shared" ref="E71:K71" si="24">IFERROR(E69*(1-E70),0)</f>
        <v>0</v>
      </c>
      <c r="F71" s="635">
        <f t="shared" si="24"/>
        <v>0</v>
      </c>
      <c r="G71" s="635">
        <f t="shared" si="24"/>
        <v>0</v>
      </c>
      <c r="H71" s="635">
        <f t="shared" si="24"/>
        <v>0</v>
      </c>
      <c r="I71" s="635">
        <f t="shared" si="24"/>
        <v>0</v>
      </c>
      <c r="J71" s="635">
        <f t="shared" si="24"/>
        <v>0</v>
      </c>
      <c r="K71" s="635">
        <f t="shared" si="24"/>
        <v>0</v>
      </c>
      <c r="L71" s="692">
        <f>SUM(D71:INDEX(D71:K71,0,MATCH('RFPR cover'!$C$7,$D$6:$K$6,0)))</f>
        <v>0</v>
      </c>
      <c r="M71" s="693">
        <f>SUM(D71:K71)</f>
        <v>0</v>
      </c>
    </row>
    <row r="72" spans="1:14" s="2" customFormat="1">
      <c r="A72" s="166"/>
      <c r="B72" s="52"/>
      <c r="C72" s="162"/>
      <c r="D72" s="162"/>
      <c r="E72" s="162"/>
      <c r="F72" s="162"/>
      <c r="G72" s="162"/>
      <c r="H72" s="162"/>
      <c r="I72" s="162"/>
      <c r="J72" s="162"/>
      <c r="K72" s="162"/>
      <c r="L72" s="162"/>
      <c r="M72" s="162"/>
    </row>
    <row r="73" spans="1:14" s="2" customFormat="1">
      <c r="A73" s="166" t="s">
        <v>476</v>
      </c>
      <c r="B73" s="178" t="str">
        <f>INDEX($B$11:$B$17,MATCH($A73,$A$11:$A$17,0),0)&amp;""</f>
        <v/>
      </c>
      <c r="C73" s="161" t="str">
        <f>'RFPR cover'!$C$14</f>
        <v>£m 12/13</v>
      </c>
      <c r="D73" s="813">
        <f>INDEX($D$11:$K$17,MATCH($A73,$A$11:$A$17,0),0)</f>
        <v>0</v>
      </c>
      <c r="E73" s="813">
        <f t="shared" ref="E73:K73" si="25">INDEX($D$11:$K$17,MATCH($A73,$A$11:$A$17,0),0)</f>
        <v>0</v>
      </c>
      <c r="F73" s="813">
        <f t="shared" si="25"/>
        <v>0</v>
      </c>
      <c r="G73" s="813">
        <f t="shared" si="25"/>
        <v>0</v>
      </c>
      <c r="H73" s="813">
        <f t="shared" si="25"/>
        <v>0</v>
      </c>
      <c r="I73" s="813">
        <f t="shared" si="25"/>
        <v>0</v>
      </c>
      <c r="J73" s="813">
        <f t="shared" si="25"/>
        <v>0</v>
      </c>
      <c r="K73" s="813">
        <f t="shared" si="25"/>
        <v>0</v>
      </c>
      <c r="L73" s="694">
        <f>SUM(D73:INDEX(D73:K73,0,MATCH('RFPR cover'!$C$7,$D$6:$K$6,0)))</f>
        <v>0</v>
      </c>
      <c r="M73" s="695">
        <f>SUM(D73:K73)</f>
        <v>0</v>
      </c>
    </row>
    <row r="74" spans="1:14" s="2" customFormat="1">
      <c r="A74" s="166"/>
      <c r="B74" s="36" t="s">
        <v>201</v>
      </c>
      <c r="C74" s="305" t="s">
        <v>241</v>
      </c>
      <c r="D74" s="919" t="str">
        <f>IF($C74=$B$33,$B$33,INDEX(Data!$G$14:$G$30,MATCH('R5 - Output Incentives'!D$6+RIGHT('R5 - Output Incentives'!$C74,2),Data!$C$14:$C$30,0),0))</f>
        <v>-</v>
      </c>
      <c r="E74" s="920" t="str">
        <f>IF($C74=$B$33,$B$33,INDEX(Data!$G$14:$G$30,MATCH('R5 - Output Incentives'!E$6+RIGHT('R5 - Output Incentives'!$C74,2),Data!$C$14:$C$30,0),0))</f>
        <v>-</v>
      </c>
      <c r="F74" s="920" t="str">
        <f>IF($C74=$B$33,$B$33,INDEX(Data!$G$14:$G$30,MATCH('R5 - Output Incentives'!F$6+RIGHT('R5 - Output Incentives'!$C74,2),Data!$C$14:$C$30,0),0))</f>
        <v>-</v>
      </c>
      <c r="G74" s="920" t="str">
        <f>IF($C74=$B$33,$B$33,INDEX(Data!$G$14:$G$30,MATCH('R5 - Output Incentives'!G$6+RIGHT('R5 - Output Incentives'!$C74,2),Data!$C$14:$C$30,0),0))</f>
        <v>-</v>
      </c>
      <c r="H74" s="920" t="str">
        <f>IF($C74=$B$33,$B$33,INDEX(Data!$G$14:$G$30,MATCH('R5 - Output Incentives'!H$6+RIGHT('R5 - Output Incentives'!$C74,2),Data!$C$14:$C$30,0),0))</f>
        <v>-</v>
      </c>
      <c r="I74" s="920" t="str">
        <f>IF($C74=$B$33,$B$33,INDEX(Data!$G$14:$G$30,MATCH('R5 - Output Incentives'!I$6+RIGHT('R5 - Output Incentives'!$C74,2),Data!$C$14:$C$30,0),0))</f>
        <v>-</v>
      </c>
      <c r="J74" s="920" t="str">
        <f>IF($C74=$B$33,$B$33,INDEX(Data!$G$14:$G$30,MATCH('R5 - Output Incentives'!J$6+RIGHT('R5 - Output Incentives'!$C74,2),Data!$C$14:$C$30,0),0))</f>
        <v>-</v>
      </c>
      <c r="K74" s="921" t="str">
        <f>IF($C74=$B$33,$B$33,INDEX(Data!$G$14:$G$30,MATCH('R5 - Output Incentives'!K$6+RIGHT('R5 - Output Incentives'!$C74,2),Data!$C$14:$C$30,0),0))</f>
        <v>-</v>
      </c>
      <c r="L74" s="815"/>
      <c r="M74" s="816"/>
    </row>
    <row r="75" spans="1:14" s="2" customFormat="1">
      <c r="A75" s="166"/>
      <c r="B75" s="36" t="s">
        <v>210</v>
      </c>
      <c r="C75" s="161"/>
      <c r="D75" s="634">
        <f>IFERROR(D73*(1-D74),0)</f>
        <v>0</v>
      </c>
      <c r="E75" s="635">
        <f t="shared" ref="E75:K75" si="26">IFERROR(E73*(1-E74),0)</f>
        <v>0</v>
      </c>
      <c r="F75" s="635">
        <f t="shared" si="26"/>
        <v>0</v>
      </c>
      <c r="G75" s="635">
        <f t="shared" si="26"/>
        <v>0</v>
      </c>
      <c r="H75" s="635">
        <f t="shared" si="26"/>
        <v>0</v>
      </c>
      <c r="I75" s="635">
        <f t="shared" si="26"/>
        <v>0</v>
      </c>
      <c r="J75" s="635">
        <f t="shared" si="26"/>
        <v>0</v>
      </c>
      <c r="K75" s="635">
        <f t="shared" si="26"/>
        <v>0</v>
      </c>
      <c r="L75" s="692">
        <f>SUM(D75:INDEX(D75:K75,0,MATCH('RFPR cover'!$C$7,$D$6:$K$6,0)))</f>
        <v>0</v>
      </c>
      <c r="M75" s="693">
        <f>SUM(D75:K75)</f>
        <v>0</v>
      </c>
    </row>
    <row r="76" spans="1:14" s="556" customFormat="1" ht="14.1" customHeight="1">
      <c r="A76" s="555"/>
      <c r="C76" s="557"/>
      <c r="D76" s="558"/>
      <c r="E76" s="558"/>
      <c r="F76" s="558"/>
      <c r="G76" s="558"/>
      <c r="H76" s="558"/>
      <c r="I76" s="558"/>
      <c r="J76" s="558"/>
      <c r="K76" s="558"/>
      <c r="L76" s="559"/>
      <c r="M76" s="559"/>
    </row>
    <row r="77" spans="1:14" s="2" customFormat="1">
      <c r="B77" s="116" t="s">
        <v>393</v>
      </c>
      <c r="C77" s="156"/>
      <c r="D77" s="139"/>
      <c r="E77" s="139"/>
      <c r="F77" s="139"/>
      <c r="G77" s="139"/>
      <c r="H77" s="139"/>
      <c r="I77" s="139"/>
      <c r="J77" s="139"/>
      <c r="K77" s="139"/>
      <c r="L77" s="80"/>
      <c r="M77" s="80"/>
      <c r="N77" s="80"/>
    </row>
    <row r="78" spans="1:14" s="2" customFormat="1">
      <c r="B78" s="384" t="s">
        <v>392</v>
      </c>
      <c r="C78" s="302"/>
      <c r="D78" s="303"/>
      <c r="E78" s="303"/>
      <c r="F78" s="303"/>
      <c r="G78" s="303"/>
      <c r="H78" s="303"/>
      <c r="I78" s="303"/>
      <c r="J78" s="303"/>
      <c r="K78" s="303"/>
      <c r="L78" s="304"/>
      <c r="M78" s="304"/>
      <c r="N78" s="304"/>
    </row>
    <row r="79" spans="1:14" s="2" customFormat="1">
      <c r="B79" s="384" t="s">
        <v>394</v>
      </c>
      <c r="C79" s="302"/>
      <c r="D79" s="303"/>
      <c r="E79" s="303"/>
      <c r="F79" s="303"/>
      <c r="G79" s="303"/>
      <c r="H79" s="303"/>
      <c r="I79" s="303"/>
      <c r="J79" s="303"/>
      <c r="K79" s="303"/>
      <c r="L79" s="304"/>
      <c r="M79" s="304"/>
      <c r="N79" s="304"/>
    </row>
    <row r="80" spans="1:14" s="556" customFormat="1">
      <c r="B80" s="561"/>
      <c r="C80" s="562"/>
      <c r="D80" s="563"/>
      <c r="E80" s="563"/>
      <c r="F80" s="563"/>
      <c r="G80" s="563"/>
      <c r="H80" s="563"/>
      <c r="I80" s="563"/>
      <c r="J80" s="563"/>
      <c r="K80" s="563"/>
    </row>
    <row r="81" spans="1:12" s="2" customFormat="1">
      <c r="B81" s="12"/>
      <c r="C81" s="564" t="s">
        <v>395</v>
      </c>
      <c r="D81" s="567" t="str">
        <f t="shared" ref="D81:K81" si="27">IF($C50=$B$33,D$6,IF(D$6-RIGHT($C50,1)&lt;$D$6,"Pre-RIIO",D$6-RIGHT($C50,1)))</f>
        <v>Pre-RIIO</v>
      </c>
      <c r="E81" s="568" t="str">
        <f t="shared" si="27"/>
        <v>Pre-RIIO</v>
      </c>
      <c r="F81" s="568">
        <f t="shared" si="27"/>
        <v>2016</v>
      </c>
      <c r="G81" s="568">
        <f t="shared" si="27"/>
        <v>2017</v>
      </c>
      <c r="H81" s="568">
        <f t="shared" si="27"/>
        <v>2018</v>
      </c>
      <c r="I81" s="568">
        <f t="shared" si="27"/>
        <v>2019</v>
      </c>
      <c r="J81" s="568">
        <f t="shared" si="27"/>
        <v>2020</v>
      </c>
      <c r="K81" s="569">
        <f t="shared" si="27"/>
        <v>2021</v>
      </c>
    </row>
    <row r="82" spans="1:12" s="2" customFormat="1">
      <c r="A82" s="3" t="str">
        <f>A11</f>
        <v>a</v>
      </c>
      <c r="B82" s="132" t="str">
        <f>B11&amp;""</f>
        <v>Broad measure of customer service</v>
      </c>
      <c r="C82" s="142" t="s">
        <v>128</v>
      </c>
      <c r="D82" s="661">
        <v>-2.6260649999999993E-2</v>
      </c>
      <c r="E82" s="662">
        <v>-0.18584459999999994</v>
      </c>
      <c r="F82" s="662">
        <v>2.7244838806580161</v>
      </c>
      <c r="G82" s="662">
        <v>2.7339636464698072</v>
      </c>
      <c r="H82" s="662">
        <v>3.1817981691631796</v>
      </c>
      <c r="I82" s="641">
        <v>3.5894750178808623</v>
      </c>
      <c r="J82" s="641">
        <v>3.5894750178808623</v>
      </c>
      <c r="K82" s="641">
        <v>3.7034404822724025</v>
      </c>
    </row>
    <row r="83" spans="1:12" s="2" customFormat="1">
      <c r="A83" s="3"/>
      <c r="B83" s="132"/>
      <c r="C83" s="142"/>
      <c r="D83" s="142"/>
      <c r="E83" s="142"/>
      <c r="F83" s="142"/>
      <c r="G83" s="142"/>
      <c r="H83" s="142"/>
      <c r="I83" s="142"/>
      <c r="J83" s="142"/>
      <c r="K83" s="142"/>
      <c r="L83" s="142"/>
    </row>
    <row r="84" spans="1:12" s="2" customFormat="1">
      <c r="A84" s="3"/>
      <c r="B84" s="132"/>
      <c r="C84" s="564" t="s">
        <v>395</v>
      </c>
      <c r="D84" s="567" t="str">
        <f t="shared" ref="D84:K84" si="28">IF($C54=$B$33,D$6,IF(D$6-RIGHT($C54,1)&lt;$D$6,"Pre-RIIO",D$6-RIGHT($C54,1)))</f>
        <v>Pre-RIIO</v>
      </c>
      <c r="E84" s="568" t="str">
        <f t="shared" si="28"/>
        <v>Pre-RIIO</v>
      </c>
      <c r="F84" s="568">
        <f t="shared" si="28"/>
        <v>2016</v>
      </c>
      <c r="G84" s="568">
        <f t="shared" si="28"/>
        <v>2017</v>
      </c>
      <c r="H84" s="568">
        <f t="shared" si="28"/>
        <v>2018</v>
      </c>
      <c r="I84" s="568">
        <f t="shared" si="28"/>
        <v>2019</v>
      </c>
      <c r="J84" s="568">
        <f t="shared" si="28"/>
        <v>2020</v>
      </c>
      <c r="K84" s="569">
        <f t="shared" si="28"/>
        <v>2021</v>
      </c>
    </row>
    <row r="85" spans="1:12" s="2" customFormat="1">
      <c r="A85" s="3" t="str">
        <f>A12</f>
        <v>b</v>
      </c>
      <c r="B85" s="132" t="str">
        <f>B12&amp;""</f>
        <v>Interruptions-related quality of service</v>
      </c>
      <c r="C85" s="142" t="s">
        <v>128</v>
      </c>
      <c r="D85" s="661">
        <v>7.1752175999999981</v>
      </c>
      <c r="E85" s="662">
        <v>11.380961699999999</v>
      </c>
      <c r="F85" s="662">
        <v>7.8073218297217633</v>
      </c>
      <c r="G85" s="662">
        <v>12.535446293231447</v>
      </c>
      <c r="H85" s="662">
        <v>11.333051575435039</v>
      </c>
      <c r="I85" s="641">
        <v>6.5769583264366362</v>
      </c>
      <c r="J85" s="641">
        <v>8.4414744717419996</v>
      </c>
      <c r="K85" s="641">
        <v>7.7581379902500007</v>
      </c>
    </row>
    <row r="86" spans="1:12" s="2" customFormat="1">
      <c r="A86" s="3"/>
      <c r="B86" s="132"/>
      <c r="C86" s="142"/>
      <c r="D86" s="142"/>
      <c r="E86" s="142"/>
      <c r="F86" s="142"/>
      <c r="G86" s="142"/>
      <c r="H86" s="142"/>
      <c r="I86" s="142"/>
      <c r="J86" s="142"/>
      <c r="K86" s="142"/>
      <c r="L86" s="142"/>
    </row>
    <row r="87" spans="1:12" s="2" customFormat="1">
      <c r="A87" s="3"/>
      <c r="B87" s="132"/>
      <c r="C87" s="564" t="s">
        <v>395</v>
      </c>
      <c r="D87" s="567" t="str">
        <f t="shared" ref="D87:K87" si="29">IF($C58=$B$33,D$6,IF(D$6-RIGHT($C58,1)&lt;$D$6,"Pre-RIIO",D$6-RIGHT($C58,1)))</f>
        <v>Pre-RIIO</v>
      </c>
      <c r="E87" s="568" t="str">
        <f t="shared" si="29"/>
        <v>Pre-RIIO</v>
      </c>
      <c r="F87" s="568" t="str">
        <f t="shared" si="29"/>
        <v>Pre-RIIO</v>
      </c>
      <c r="G87" s="568">
        <f t="shared" si="29"/>
        <v>2016</v>
      </c>
      <c r="H87" s="568">
        <f t="shared" si="29"/>
        <v>2017</v>
      </c>
      <c r="I87" s="568">
        <f t="shared" si="29"/>
        <v>2018</v>
      </c>
      <c r="J87" s="568">
        <f t="shared" si="29"/>
        <v>2019</v>
      </c>
      <c r="K87" s="569">
        <f t="shared" si="29"/>
        <v>2020</v>
      </c>
    </row>
    <row r="88" spans="1:12" s="2" customFormat="1">
      <c r="A88" s="3" t="str">
        <f>A13</f>
        <v>c</v>
      </c>
      <c r="B88" s="132" t="str">
        <f>B13&amp;""</f>
        <v>Incentive on connections engagement</v>
      </c>
      <c r="C88" s="142" t="s">
        <v>128</v>
      </c>
      <c r="D88" s="661">
        <v>0</v>
      </c>
      <c r="E88" s="662">
        <v>0</v>
      </c>
      <c r="F88" s="662">
        <v>0</v>
      </c>
      <c r="G88" s="662">
        <v>0</v>
      </c>
      <c r="H88" s="662">
        <v>0</v>
      </c>
      <c r="I88" s="641">
        <v>0</v>
      </c>
      <c r="J88" s="641">
        <v>0</v>
      </c>
      <c r="K88" s="641">
        <v>0</v>
      </c>
    </row>
    <row r="89" spans="1:12" s="2" customFormat="1">
      <c r="A89" s="3"/>
      <c r="B89" s="132"/>
      <c r="C89" s="142"/>
      <c r="D89" s="142"/>
      <c r="E89" s="142"/>
      <c r="F89" s="142"/>
      <c r="G89" s="142"/>
      <c r="H89" s="142"/>
      <c r="I89" s="142"/>
      <c r="J89" s="142"/>
      <c r="K89" s="142"/>
      <c r="L89" s="142"/>
    </row>
    <row r="90" spans="1:12" s="2" customFormat="1">
      <c r="A90" s="3"/>
      <c r="B90" s="132"/>
      <c r="C90" s="564" t="s">
        <v>395</v>
      </c>
      <c r="D90" s="567" t="str">
        <f t="shared" ref="D90:K90" si="30">IF($C62=$B$33,D$6,IF(D$6-RIGHT($C62,1)&lt;$D$6,"Pre-RIIO",D$6-RIGHT($C62,1)))</f>
        <v>Pre-RIIO</v>
      </c>
      <c r="E90" s="568" t="str">
        <f t="shared" si="30"/>
        <v>Pre-RIIO</v>
      </c>
      <c r="F90" s="568">
        <f t="shared" si="30"/>
        <v>2016</v>
      </c>
      <c r="G90" s="568">
        <f t="shared" si="30"/>
        <v>2017</v>
      </c>
      <c r="H90" s="568">
        <f t="shared" si="30"/>
        <v>2018</v>
      </c>
      <c r="I90" s="568">
        <f t="shared" si="30"/>
        <v>2019</v>
      </c>
      <c r="J90" s="568">
        <f t="shared" si="30"/>
        <v>2020</v>
      </c>
      <c r="K90" s="569">
        <f t="shared" si="30"/>
        <v>2021</v>
      </c>
    </row>
    <row r="91" spans="1:12" s="2" customFormat="1">
      <c r="A91" s="3" t="str">
        <f>A14</f>
        <v>d</v>
      </c>
      <c r="B91" s="132" t="str">
        <f>B14&amp;""</f>
        <v>Time to Connect Incentive</v>
      </c>
      <c r="C91" s="142" t="s">
        <v>128</v>
      </c>
      <c r="D91" s="661">
        <v>0</v>
      </c>
      <c r="E91" s="662">
        <v>0</v>
      </c>
      <c r="F91" s="662">
        <v>1.0200295866602096</v>
      </c>
      <c r="G91" s="662">
        <v>0.64982200878716667</v>
      </c>
      <c r="H91" s="662">
        <v>0.67413834678655349</v>
      </c>
      <c r="I91" s="641">
        <v>0.69473710023500557</v>
      </c>
      <c r="J91" s="641">
        <v>0</v>
      </c>
      <c r="K91" s="641">
        <v>0</v>
      </c>
    </row>
    <row r="92" spans="1:12" s="2" customFormat="1">
      <c r="A92" s="3"/>
      <c r="B92" s="132"/>
      <c r="C92" s="142"/>
      <c r="D92" s="142"/>
      <c r="E92" s="142"/>
      <c r="F92" s="142"/>
      <c r="G92" s="142"/>
      <c r="H92" s="142"/>
      <c r="I92" s="142"/>
      <c r="J92" s="142"/>
      <c r="K92" s="142"/>
      <c r="L92" s="142"/>
    </row>
    <row r="93" spans="1:12" s="2" customFormat="1">
      <c r="A93" s="3"/>
      <c r="B93" s="132"/>
      <c r="C93" s="564" t="s">
        <v>395</v>
      </c>
      <c r="D93" s="567" t="str">
        <f>IF($C66=$B$33,D$6,IF(D$6-RIGHT($C66,1)&lt;$D$6,"Pre-RIIO",D$6-RIGHT($C66,1)))</f>
        <v>Pre-RIIO</v>
      </c>
      <c r="E93" s="568">
        <f t="shared" ref="E93:K93" si="31">IF($C66=$B$33,E$6,IF(E$6-RIGHT($C66,1)&lt;$D$6,"Pre-RIIO",E$6-RIGHT($C66,1)))</f>
        <v>2016</v>
      </c>
      <c r="F93" s="568">
        <f t="shared" si="31"/>
        <v>2017</v>
      </c>
      <c r="G93" s="568">
        <f t="shared" si="31"/>
        <v>2018</v>
      </c>
      <c r="H93" s="568">
        <f t="shared" si="31"/>
        <v>2019</v>
      </c>
      <c r="I93" s="568">
        <f t="shared" si="31"/>
        <v>2020</v>
      </c>
      <c r="J93" s="568">
        <f t="shared" si="31"/>
        <v>2021</v>
      </c>
      <c r="K93" s="569">
        <f t="shared" si="31"/>
        <v>2022</v>
      </c>
    </row>
    <row r="94" spans="1:12" s="2" customFormat="1">
      <c r="A94" s="3" t="str">
        <f>A15</f>
        <v>e</v>
      </c>
      <c r="B94" s="132" t="str">
        <f>B15&amp;""</f>
        <v>Losses discretionary reward scheme</v>
      </c>
      <c r="C94" s="142" t="s">
        <v>128</v>
      </c>
      <c r="D94" s="661">
        <v>0</v>
      </c>
      <c r="E94" s="662">
        <v>0</v>
      </c>
      <c r="F94" s="662">
        <v>0.431585</v>
      </c>
      <c r="G94" s="662">
        <v>0</v>
      </c>
      <c r="H94" s="641">
        <v>0</v>
      </c>
      <c r="I94" s="641">
        <v>0</v>
      </c>
      <c r="J94" s="641">
        <v>0.71942199999999989</v>
      </c>
      <c r="K94" s="641">
        <v>0</v>
      </c>
    </row>
    <row r="95" spans="1:12" s="2" customFormat="1">
      <c r="A95" s="3"/>
      <c r="B95" s="132"/>
      <c r="C95" s="142"/>
      <c r="D95" s="142"/>
      <c r="E95" s="142"/>
      <c r="F95" s="142"/>
      <c r="G95" s="142"/>
      <c r="H95" s="142"/>
      <c r="I95" s="142"/>
      <c r="J95" s="142"/>
      <c r="K95" s="142"/>
      <c r="L95" s="142"/>
    </row>
    <row r="96" spans="1:12" s="2" customFormat="1">
      <c r="A96" s="3"/>
      <c r="B96" s="132"/>
      <c r="C96" s="564" t="s">
        <v>395</v>
      </c>
      <c r="D96" s="567">
        <f>IF($C70=$B$33,D$6,IF(D$6-RIGHT($C70,1)&lt;$D$6,"Pre-RIIO",D$6-RIGHT($C70,1)))</f>
        <v>2016</v>
      </c>
      <c r="E96" s="567">
        <f t="shared" ref="E96:K96" si="32">IF($C70=$B$33,E$6,IF(E$6-RIGHT($C70,1)&lt;$D$6,"Pre-RIIO",E$6-RIGHT($C70,1)))</f>
        <v>2017</v>
      </c>
      <c r="F96" s="567">
        <f t="shared" si="32"/>
        <v>2018</v>
      </c>
      <c r="G96" s="567">
        <f t="shared" si="32"/>
        <v>2019</v>
      </c>
      <c r="H96" s="567">
        <f t="shared" si="32"/>
        <v>2020</v>
      </c>
      <c r="I96" s="567">
        <f t="shared" si="32"/>
        <v>2021</v>
      </c>
      <c r="J96" s="567">
        <f t="shared" si="32"/>
        <v>2022</v>
      </c>
      <c r="K96" s="567">
        <f t="shared" si="32"/>
        <v>2023</v>
      </c>
    </row>
    <row r="97" spans="1:13" s="2" customFormat="1">
      <c r="A97" s="3" t="str">
        <f>A16</f>
        <v>f</v>
      </c>
      <c r="B97" s="132" t="str">
        <f>B16&amp;""</f>
        <v/>
      </c>
      <c r="C97" s="142" t="s">
        <v>128</v>
      </c>
      <c r="D97" s="661"/>
      <c r="E97" s="662"/>
      <c r="F97" s="662"/>
      <c r="G97" s="662"/>
      <c r="H97" s="641"/>
      <c r="I97" s="641"/>
      <c r="J97" s="641"/>
      <c r="K97" s="641"/>
    </row>
    <row r="98" spans="1:13" s="2" customFormat="1">
      <c r="A98" s="3"/>
      <c r="B98" s="132"/>
      <c r="C98" s="142"/>
      <c r="D98" s="142"/>
      <c r="E98" s="142"/>
      <c r="F98" s="142"/>
      <c r="G98" s="142"/>
      <c r="H98" s="142"/>
      <c r="I98" s="142"/>
      <c r="J98" s="142"/>
      <c r="K98" s="142"/>
      <c r="L98" s="142"/>
    </row>
    <row r="99" spans="1:13" s="2" customFormat="1">
      <c r="A99" s="3"/>
      <c r="B99" s="132"/>
      <c r="C99" s="564" t="s">
        <v>395</v>
      </c>
      <c r="D99" s="567">
        <f>IF($C74=$B$33,D$6,IF(D$6-RIGHT($C74,1)&lt;$D$6,"Pre-RIIO",D$6-RIGHT($C74,1)))</f>
        <v>2016</v>
      </c>
      <c r="E99" s="567">
        <f t="shared" ref="E99:K99" si="33">IF($C74=$B$33,E$6,IF(E$6-RIGHT($C74,1)&lt;$D$6,"Pre-RIIO",E$6-RIGHT($C74,1)))</f>
        <v>2017</v>
      </c>
      <c r="F99" s="567">
        <f t="shared" si="33"/>
        <v>2018</v>
      </c>
      <c r="G99" s="567">
        <f t="shared" si="33"/>
        <v>2019</v>
      </c>
      <c r="H99" s="567">
        <f t="shared" si="33"/>
        <v>2020</v>
      </c>
      <c r="I99" s="567">
        <f t="shared" si="33"/>
        <v>2021</v>
      </c>
      <c r="J99" s="567">
        <f t="shared" si="33"/>
        <v>2022</v>
      </c>
      <c r="K99" s="567">
        <f t="shared" si="33"/>
        <v>2023</v>
      </c>
    </row>
    <row r="100" spans="1:13" s="2" customFormat="1">
      <c r="A100" s="3" t="str">
        <f>A17</f>
        <v>g</v>
      </c>
      <c r="B100" s="132" t="str">
        <f>B17&amp;""</f>
        <v/>
      </c>
      <c r="C100" s="142" t="s">
        <v>128</v>
      </c>
      <c r="D100" s="661"/>
      <c r="E100" s="662"/>
      <c r="F100" s="662"/>
      <c r="G100" s="662"/>
      <c r="H100" s="641"/>
      <c r="I100" s="641"/>
      <c r="J100" s="641"/>
      <c r="K100" s="641"/>
    </row>
    <row r="101" spans="1:13" s="2" customFormat="1">
      <c r="A101" s="3"/>
      <c r="B101" s="132"/>
      <c r="C101" s="142"/>
      <c r="D101" s="142"/>
      <c r="E101" s="142"/>
      <c r="F101" s="142"/>
      <c r="G101" s="142"/>
      <c r="H101" s="142"/>
      <c r="I101" s="142"/>
      <c r="J101" s="142"/>
      <c r="K101" s="142"/>
      <c r="L101" s="142"/>
      <c r="M101" s="142"/>
    </row>
    <row r="102" spans="1:13" s="2" customFormat="1">
      <c r="B102" s="12" t="s">
        <v>158</v>
      </c>
      <c r="C102" s="163" t="s">
        <v>128</v>
      </c>
      <c r="D102" s="634">
        <f>SUM(D82,D85,D88,D91,D94,D97,D100)</f>
        <v>7.1489569499999979</v>
      </c>
      <c r="E102" s="634">
        <f t="shared" ref="E102:K102" si="34">SUM(E82,E85,E88,E91,E94,E97,E100)</f>
        <v>11.195117099999999</v>
      </c>
      <c r="F102" s="634">
        <f t="shared" si="34"/>
        <v>11.983420297039988</v>
      </c>
      <c r="G102" s="634">
        <f t="shared" si="34"/>
        <v>15.91923194848842</v>
      </c>
      <c r="H102" s="635">
        <f>SUM(H82,H85,H88,H91,H94,H97,H100)</f>
        <v>15.188988091384774</v>
      </c>
      <c r="I102" s="635">
        <f t="shared" si="34"/>
        <v>10.861170444552505</v>
      </c>
      <c r="J102" s="635">
        <f t="shared" si="34"/>
        <v>12.750371489622863</v>
      </c>
      <c r="K102" s="635">
        <f t="shared" si="34"/>
        <v>11.461578472522403</v>
      </c>
    </row>
    <row r="103" spans="1:13" s="2" customFormat="1">
      <c r="C103" s="142"/>
    </row>
    <row r="104" spans="1:13" s="2" customFormat="1">
      <c r="A104" s="36"/>
      <c r="B104" s="12" t="s">
        <v>370</v>
      </c>
      <c r="C104" s="162"/>
      <c r="D104" s="162"/>
      <c r="E104" s="162"/>
      <c r="F104" s="162"/>
      <c r="G104" s="162"/>
      <c r="H104" s="162"/>
      <c r="I104" s="162"/>
      <c r="J104" s="162"/>
      <c r="K104" s="162"/>
      <c r="L104" s="162"/>
      <c r="M104" s="162"/>
    </row>
    <row r="105" spans="1:13" s="2" customFormat="1">
      <c r="A105" s="279" t="str">
        <f>A82</f>
        <v>a</v>
      </c>
      <c r="B105" s="992" t="s">
        <v>539</v>
      </c>
      <c r="C105" s="992"/>
      <c r="D105" s="992"/>
      <c r="E105" s="992"/>
      <c r="F105" s="992"/>
      <c r="G105" s="992"/>
      <c r="H105" s="992"/>
      <c r="I105" s="992"/>
      <c r="J105" s="992"/>
      <c r="K105" s="992"/>
      <c r="L105" s="992"/>
      <c r="M105" s="992"/>
    </row>
    <row r="106" spans="1:13" s="2" customFormat="1">
      <c r="A106" s="279" t="str">
        <f>A85</f>
        <v>b</v>
      </c>
      <c r="B106" s="992" t="s">
        <v>535</v>
      </c>
      <c r="C106" s="992"/>
      <c r="D106" s="992"/>
      <c r="E106" s="992"/>
      <c r="F106" s="992"/>
      <c r="G106" s="992"/>
      <c r="H106" s="992"/>
      <c r="I106" s="992"/>
      <c r="J106" s="992"/>
      <c r="K106" s="992"/>
      <c r="L106" s="992"/>
      <c r="M106" s="992"/>
    </row>
    <row r="107" spans="1:13" s="2" customFormat="1">
      <c r="A107" s="279" t="str">
        <f>A88</f>
        <v>c</v>
      </c>
      <c r="B107" s="992" t="s">
        <v>537</v>
      </c>
      <c r="C107" s="992"/>
      <c r="D107" s="992"/>
      <c r="E107" s="992"/>
      <c r="F107" s="992"/>
      <c r="G107" s="992"/>
      <c r="H107" s="992"/>
      <c r="I107" s="992"/>
      <c r="J107" s="992"/>
      <c r="K107" s="992"/>
      <c r="L107" s="992"/>
      <c r="M107" s="992"/>
    </row>
    <row r="108" spans="1:13" s="2" customFormat="1">
      <c r="A108" s="279" t="str">
        <f>A91</f>
        <v>d</v>
      </c>
      <c r="B108" s="992" t="s">
        <v>536</v>
      </c>
      <c r="C108" s="992"/>
      <c r="D108" s="992"/>
      <c r="E108" s="992"/>
      <c r="F108" s="992"/>
      <c r="G108" s="992"/>
      <c r="H108" s="992"/>
      <c r="I108" s="992"/>
      <c r="J108" s="992"/>
      <c r="K108" s="992"/>
      <c r="L108" s="992"/>
      <c r="M108" s="992"/>
    </row>
    <row r="109" spans="1:13" s="2" customFormat="1">
      <c r="A109" s="279" t="str">
        <f>A94</f>
        <v>e</v>
      </c>
      <c r="B109" s="992" t="s">
        <v>534</v>
      </c>
      <c r="C109" s="992"/>
      <c r="D109" s="992"/>
      <c r="E109" s="992"/>
      <c r="F109" s="992"/>
      <c r="G109" s="992"/>
      <c r="H109" s="992"/>
      <c r="I109" s="992"/>
      <c r="J109" s="992"/>
      <c r="K109" s="992"/>
      <c r="L109" s="992"/>
      <c r="M109" s="992"/>
    </row>
    <row r="110" spans="1:13" s="2" customFormat="1">
      <c r="A110" s="279" t="str">
        <f>A97</f>
        <v>f</v>
      </c>
      <c r="B110" s="992"/>
      <c r="C110" s="992"/>
      <c r="D110" s="992"/>
      <c r="E110" s="992"/>
      <c r="F110" s="992"/>
      <c r="G110" s="992"/>
      <c r="H110" s="992"/>
      <c r="I110" s="992"/>
      <c r="J110" s="992"/>
      <c r="K110" s="992"/>
      <c r="L110" s="992"/>
      <c r="M110" s="992"/>
    </row>
    <row r="111" spans="1:13" s="2" customFormat="1">
      <c r="A111" s="279" t="str">
        <f>A100</f>
        <v>g</v>
      </c>
      <c r="B111" s="992"/>
      <c r="C111" s="992"/>
      <c r="D111" s="992"/>
      <c r="E111" s="992"/>
      <c r="F111" s="992"/>
      <c r="G111" s="992"/>
      <c r="H111" s="992"/>
      <c r="I111" s="992"/>
      <c r="J111" s="992"/>
      <c r="K111" s="992"/>
      <c r="L111" s="992"/>
      <c r="M111" s="992"/>
    </row>
    <row r="112" spans="1:13" s="556" customFormat="1">
      <c r="A112" s="555"/>
      <c r="C112" s="557"/>
      <c r="D112" s="558"/>
      <c r="E112" s="558"/>
      <c r="F112" s="558"/>
      <c r="G112" s="558"/>
      <c r="H112" s="558"/>
      <c r="I112" s="558"/>
      <c r="J112" s="558"/>
      <c r="K112" s="558"/>
      <c r="L112" s="559"/>
      <c r="M112" s="559"/>
    </row>
    <row r="113" spans="1:14" s="556" customFormat="1">
      <c r="A113" s="555"/>
      <c r="C113" s="557"/>
      <c r="D113" s="557"/>
      <c r="E113" s="557"/>
      <c r="F113" s="557"/>
      <c r="G113" s="557"/>
      <c r="H113" s="557"/>
      <c r="I113" s="557"/>
      <c r="J113" s="557"/>
      <c r="K113" s="557"/>
      <c r="L113" s="557"/>
      <c r="M113" s="557"/>
    </row>
    <row r="114" spans="1:14" s="2" customFormat="1">
      <c r="A114" s="80"/>
      <c r="B114" s="80"/>
      <c r="C114" s="156"/>
      <c r="D114" s="80"/>
      <c r="E114" s="80"/>
      <c r="F114" s="80"/>
      <c r="G114" s="80"/>
      <c r="H114" s="80"/>
      <c r="I114" s="80"/>
      <c r="J114" s="80"/>
      <c r="K114" s="80"/>
      <c r="L114" s="80"/>
      <c r="M114" s="80"/>
      <c r="N114" s="80"/>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7" priority="85">
      <formula>AND(D$5="Actuals",E$5="Forecast")</formula>
    </cfRule>
  </conditionalFormatting>
  <conditionalFormatting sqref="D5:K5">
    <cfRule type="expression" dxfId="36" priority="80">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9.625" customWidth="1"/>
    <col min="3" max="3" width="14.125" style="142" customWidth="1"/>
    <col min="4" max="11" width="11.125" customWidth="1"/>
    <col min="12" max="12" width="5" customWidth="1"/>
  </cols>
  <sheetData>
    <row r="1" spans="1:12" s="32" customFormat="1" ht="20.25">
      <c r="A1" s="264" t="s">
        <v>100</v>
      </c>
      <c r="B1" s="265"/>
      <c r="C1" s="288"/>
      <c r="D1" s="265"/>
      <c r="E1" s="265"/>
      <c r="F1" s="265"/>
      <c r="G1" s="265"/>
      <c r="H1" s="265"/>
      <c r="I1" s="266"/>
      <c r="J1" s="266"/>
      <c r="K1" s="267"/>
      <c r="L1" s="268"/>
    </row>
    <row r="2" spans="1:12" s="32" customFormat="1" ht="20.25">
      <c r="A2" s="124" t="str">
        <f>'RFPR cover'!C5</f>
        <v>SPD</v>
      </c>
      <c r="B2" s="30"/>
      <c r="C2" s="140"/>
      <c r="D2" s="30"/>
      <c r="E2" s="30"/>
      <c r="F2" s="30"/>
      <c r="G2" s="30"/>
      <c r="H2" s="30"/>
      <c r="I2" s="27"/>
      <c r="J2" s="27"/>
      <c r="K2" s="27"/>
      <c r="L2" s="125"/>
    </row>
    <row r="3" spans="1:12" s="38" customFormat="1" ht="23.25">
      <c r="A3" s="289">
        <f>'RFPR cover'!C7</f>
        <v>2019</v>
      </c>
      <c r="B3" s="937" t="str">
        <f>'R1 - RoRE'!B3</f>
        <v/>
      </c>
      <c r="C3" s="291"/>
      <c r="D3" s="290"/>
      <c r="E3" s="290"/>
      <c r="F3" s="290"/>
      <c r="G3" s="290"/>
      <c r="H3" s="290"/>
      <c r="I3" s="263"/>
      <c r="J3" s="263"/>
      <c r="K3" s="263"/>
      <c r="L3" s="271"/>
    </row>
    <row r="4" spans="1:12" s="2" customFormat="1" ht="12.75" customHeight="1">
      <c r="C4" s="142"/>
    </row>
    <row r="5" spans="1:12" s="2" customFormat="1" ht="12.75" customHeight="1">
      <c r="B5" s="3"/>
      <c r="C5" s="142"/>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row>
    <row r="6" spans="1:12" s="2" customFormat="1" ht="12.75" customHeight="1">
      <c r="C6" s="142"/>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2" s="2" customFormat="1">
      <c r="C7" s="142"/>
    </row>
    <row r="8" spans="1:12" s="2" customFormat="1">
      <c r="B8" s="52" t="s">
        <v>134</v>
      </c>
      <c r="C8" s="143"/>
      <c r="D8" s="57"/>
      <c r="E8" s="57"/>
      <c r="F8" s="57"/>
      <c r="G8" s="57"/>
      <c r="H8" s="57"/>
      <c r="I8" s="57"/>
      <c r="J8" s="57"/>
      <c r="K8" s="57"/>
    </row>
    <row r="9" spans="1:12" s="2" customFormat="1">
      <c r="B9" s="231" t="s">
        <v>514</v>
      </c>
      <c r="C9" s="158" t="s">
        <v>128</v>
      </c>
      <c r="D9" s="618">
        <v>1.7852340420357795</v>
      </c>
      <c r="E9" s="619">
        <v>1.7658983930531649</v>
      </c>
      <c r="F9" s="619">
        <v>1.610069317435129</v>
      </c>
      <c r="G9" s="619">
        <v>1.7625549644522502</v>
      </c>
      <c r="H9" s="619">
        <v>1.7</v>
      </c>
      <c r="I9" s="619">
        <v>1.7</v>
      </c>
      <c r="J9" s="619">
        <v>1.7</v>
      </c>
      <c r="K9" s="619">
        <v>1.7</v>
      </c>
    </row>
    <row r="10" spans="1:12" s="2" customFormat="1">
      <c r="B10" s="231" t="s">
        <v>495</v>
      </c>
      <c r="C10" s="158" t="s">
        <v>128</v>
      </c>
      <c r="D10" s="620"/>
      <c r="E10" s="621"/>
      <c r="F10" s="621"/>
      <c r="G10" s="621"/>
      <c r="H10" s="621"/>
      <c r="I10" s="621"/>
      <c r="J10" s="621"/>
      <c r="K10" s="621"/>
    </row>
    <row r="11" spans="1:12" s="2" customFormat="1">
      <c r="B11" s="231" t="s">
        <v>513</v>
      </c>
      <c r="C11" s="158" t="s">
        <v>128</v>
      </c>
      <c r="D11" s="880">
        <v>0.16936514869495722</v>
      </c>
      <c r="E11" s="881">
        <v>0.16701334426031655</v>
      </c>
      <c r="F11" s="881">
        <v>0.15225693174351296</v>
      </c>
      <c r="G11" s="881">
        <v>0.17625549644522498</v>
      </c>
      <c r="H11" s="621">
        <f>H9*10%</f>
        <v>0.17</v>
      </c>
      <c r="I11" s="621">
        <f t="shared" ref="I11:K11" si="1">I9*10%</f>
        <v>0.17</v>
      </c>
      <c r="J11" s="621">
        <f t="shared" si="1"/>
        <v>0.17</v>
      </c>
      <c r="K11" s="621">
        <f t="shared" si="1"/>
        <v>0.17</v>
      </c>
    </row>
    <row r="12" spans="1:12" s="12" customFormat="1">
      <c r="B12" s="52" t="s">
        <v>132</v>
      </c>
      <c r="C12" s="158" t="s">
        <v>128</v>
      </c>
      <c r="D12" s="634">
        <f>D9-D10-D11</f>
        <v>1.6158688933408223</v>
      </c>
      <c r="E12" s="635">
        <f t="shared" ref="E12:K12" si="2">E9-E10-E11</f>
        <v>1.5988850487928483</v>
      </c>
      <c r="F12" s="635">
        <f t="shared" si="2"/>
        <v>1.4578123856916161</v>
      </c>
      <c r="G12" s="635">
        <f t="shared" si="2"/>
        <v>1.5862994680070253</v>
      </c>
      <c r="H12" s="635">
        <f t="shared" si="2"/>
        <v>1.53</v>
      </c>
      <c r="I12" s="635">
        <f t="shared" si="2"/>
        <v>1.53</v>
      </c>
      <c r="J12" s="635">
        <f t="shared" si="2"/>
        <v>1.53</v>
      </c>
      <c r="K12" s="635">
        <f t="shared" si="2"/>
        <v>1.53</v>
      </c>
      <c r="L12" s="2"/>
    </row>
    <row r="13" spans="1:12" s="12" customFormat="1">
      <c r="B13" s="52"/>
      <c r="C13" s="52"/>
      <c r="D13" s="52"/>
      <c r="E13" s="52"/>
      <c r="F13" s="52"/>
      <c r="G13" s="52"/>
      <c r="H13" s="53"/>
      <c r="I13" s="53"/>
      <c r="J13" s="53"/>
      <c r="K13" s="53"/>
      <c r="L13" s="2"/>
    </row>
    <row r="14" spans="1:12" s="2" customFormat="1">
      <c r="B14" s="52" t="s">
        <v>156</v>
      </c>
      <c r="C14" s="143"/>
      <c r="D14" s="57"/>
      <c r="E14" s="57"/>
      <c r="F14" s="57"/>
      <c r="G14" s="57"/>
      <c r="H14" s="57"/>
      <c r="I14" s="57"/>
      <c r="J14" s="57"/>
      <c r="K14" s="57"/>
    </row>
    <row r="15" spans="1:12" s="2" customFormat="1" ht="12.95" customHeight="1">
      <c r="B15" s="231" t="s">
        <v>516</v>
      </c>
      <c r="C15" s="158" t="s">
        <v>128</v>
      </c>
      <c r="D15" s="618">
        <v>1.3859999999999999</v>
      </c>
      <c r="E15" s="618">
        <v>7.2999999999999995E-2</v>
      </c>
      <c r="F15" s="618">
        <v>0.21199999999999999</v>
      </c>
      <c r="G15" s="618">
        <v>0.57399999999999995</v>
      </c>
      <c r="H15" s="618">
        <v>7.850915E-2</v>
      </c>
      <c r="I15" s="619"/>
      <c r="J15" s="619"/>
      <c r="K15" s="619"/>
    </row>
    <row r="16" spans="1:12" s="2" customFormat="1">
      <c r="B16" s="231" t="s">
        <v>515</v>
      </c>
      <c r="C16" s="158" t="s">
        <v>128</v>
      </c>
      <c r="D16" s="620">
        <v>0</v>
      </c>
      <c r="E16" s="620">
        <v>0</v>
      </c>
      <c r="F16" s="620">
        <v>0</v>
      </c>
      <c r="G16" s="620">
        <v>0</v>
      </c>
      <c r="H16" s="620">
        <v>0</v>
      </c>
      <c r="I16" s="621"/>
      <c r="J16" s="621"/>
      <c r="K16" s="621"/>
    </row>
    <row r="17" spans="2:12" s="12" customFormat="1">
      <c r="B17" s="52" t="s">
        <v>133</v>
      </c>
      <c r="C17" s="158" t="s">
        <v>128</v>
      </c>
      <c r="D17" s="634">
        <f>D15-D16</f>
        <v>1.3859999999999999</v>
      </c>
      <c r="E17" s="634">
        <f t="shared" ref="E17:K17" si="3">E15-E16</f>
        <v>7.2999999999999995E-2</v>
      </c>
      <c r="F17" s="634">
        <f t="shared" si="3"/>
        <v>0.21199999999999999</v>
      </c>
      <c r="G17" s="634">
        <f t="shared" si="3"/>
        <v>0.57399999999999995</v>
      </c>
      <c r="H17" s="634">
        <f t="shared" si="3"/>
        <v>7.850915E-2</v>
      </c>
      <c r="I17" s="634">
        <f t="shared" si="3"/>
        <v>0</v>
      </c>
      <c r="J17" s="634">
        <f t="shared" si="3"/>
        <v>0</v>
      </c>
      <c r="K17" s="634">
        <f t="shared" si="3"/>
        <v>0</v>
      </c>
      <c r="L17" s="2"/>
    </row>
    <row r="18" spans="2:12" s="12" customFormat="1">
      <c r="B18" s="52"/>
      <c r="C18" s="142"/>
      <c r="D18" s="53"/>
      <c r="E18" s="53"/>
      <c r="F18" s="53"/>
      <c r="G18" s="53"/>
      <c r="H18" s="53"/>
      <c r="I18" s="53"/>
      <c r="J18" s="53"/>
      <c r="K18" s="53"/>
      <c r="L18" s="2"/>
    </row>
    <row r="19" spans="2:12" s="2" customFormat="1">
      <c r="B19" s="52" t="s">
        <v>157</v>
      </c>
      <c r="C19" s="143"/>
      <c r="D19" s="57"/>
      <c r="E19" s="57"/>
      <c r="F19" s="57"/>
      <c r="G19" s="57"/>
      <c r="H19" s="57"/>
      <c r="I19" s="57"/>
      <c r="J19" s="57"/>
      <c r="K19" s="57"/>
    </row>
    <row r="20" spans="2:12" s="2" customFormat="1">
      <c r="B20" s="231" t="s">
        <v>444</v>
      </c>
      <c r="C20" s="158" t="s">
        <v>128</v>
      </c>
      <c r="D20" s="618">
        <v>0</v>
      </c>
      <c r="E20" s="619">
        <v>5.1039404900000003</v>
      </c>
      <c r="F20" s="619">
        <v>0</v>
      </c>
      <c r="G20" s="619">
        <v>0</v>
      </c>
      <c r="H20" s="619">
        <v>0</v>
      </c>
      <c r="I20" s="619">
        <v>4</v>
      </c>
      <c r="J20" s="619">
        <v>0</v>
      </c>
      <c r="K20" s="619">
        <v>4</v>
      </c>
    </row>
    <row r="21" spans="2:12" s="2" customFormat="1">
      <c r="B21" s="231" t="s">
        <v>513</v>
      </c>
      <c r="C21" s="158" t="s">
        <v>128</v>
      </c>
      <c r="D21" s="655">
        <v>0</v>
      </c>
      <c r="E21" s="656">
        <v>0.56710450000000001</v>
      </c>
      <c r="F21" s="656">
        <v>0</v>
      </c>
      <c r="G21" s="656">
        <v>0</v>
      </c>
      <c r="H21" s="656">
        <v>0</v>
      </c>
      <c r="I21" s="656">
        <v>0.44444444444444464</v>
      </c>
      <c r="J21" s="656">
        <v>0</v>
      </c>
      <c r="K21" s="656">
        <v>0.44444444444444464</v>
      </c>
    </row>
    <row r="22" spans="2:12" s="2" customFormat="1">
      <c r="B22" s="36"/>
      <c r="C22" s="144"/>
      <c r="D22" s="36"/>
      <c r="E22" s="36"/>
      <c r="F22" s="36"/>
      <c r="G22" s="36"/>
      <c r="H22" s="36"/>
      <c r="I22" s="36"/>
      <c r="J22" s="36"/>
      <c r="K22" s="36"/>
    </row>
    <row r="23" spans="2:12" s="2" customFormat="1">
      <c r="B23" s="231" t="s">
        <v>498</v>
      </c>
      <c r="C23" s="158" t="s">
        <v>128</v>
      </c>
      <c r="D23" s="661">
        <v>0</v>
      </c>
      <c r="E23" s="662">
        <v>0.51500000000000001</v>
      </c>
      <c r="F23" s="662">
        <v>0</v>
      </c>
      <c r="G23" s="662">
        <v>0.84599999999999997</v>
      </c>
      <c r="H23" s="662">
        <v>0</v>
      </c>
      <c r="I23" s="662">
        <v>0</v>
      </c>
      <c r="J23" s="662">
        <v>0</v>
      </c>
      <c r="K23" s="663">
        <v>0</v>
      </c>
    </row>
    <row r="24" spans="2:12" s="2" customFormat="1">
      <c r="B24" s="36"/>
      <c r="C24" s="144"/>
      <c r="D24" s="36"/>
      <c r="E24" s="36"/>
      <c r="F24" s="36"/>
      <c r="G24" s="36"/>
      <c r="H24" s="36"/>
      <c r="I24" s="36"/>
      <c r="J24" s="36"/>
      <c r="K24" s="36"/>
    </row>
    <row r="25" spans="2:12" s="2" customFormat="1">
      <c r="B25" s="80"/>
      <c r="C25" s="156"/>
      <c r="D25" s="80"/>
      <c r="E25" s="80"/>
      <c r="F25" s="80"/>
      <c r="G25" s="80"/>
      <c r="H25" s="80"/>
      <c r="I25" s="80"/>
      <c r="J25" s="80"/>
      <c r="K25" s="80"/>
      <c r="L25" s="80"/>
    </row>
    <row r="26" spans="2:12" s="2" customFormat="1">
      <c r="B26" s="36"/>
      <c r="C26" s="144"/>
      <c r="D26" s="36"/>
      <c r="E26" s="36"/>
      <c r="F26" s="36"/>
      <c r="G26" s="36"/>
      <c r="H26" s="36"/>
      <c r="I26" s="36"/>
      <c r="J26" s="36"/>
      <c r="K26" s="36"/>
    </row>
    <row r="27" spans="2:12" s="2" customFormat="1">
      <c r="B27" s="52" t="s">
        <v>390</v>
      </c>
      <c r="C27" s="144"/>
      <c r="D27" s="36"/>
      <c r="E27" s="36"/>
      <c r="F27" s="36"/>
      <c r="G27" s="36"/>
      <c r="H27" s="36"/>
      <c r="I27" s="36"/>
      <c r="J27" s="36"/>
      <c r="K27" s="36"/>
    </row>
    <row r="28" spans="2:12" s="2" customFormat="1">
      <c r="B28" s="231" t="s">
        <v>496</v>
      </c>
      <c r="C28" s="161" t="str">
        <f>'RFPR cover'!$C$14</f>
        <v>£m 12/13</v>
      </c>
      <c r="D28" s="703">
        <f>(SUM(D10,D11,D21)-D23)/Data!C34</f>
        <v>0.15973071180974918</v>
      </c>
      <c r="E28" s="703">
        <f>(SUM(E10,E11,E21)-E23)/Data!D34</f>
        <v>0.20231802674946017</v>
      </c>
      <c r="F28" s="703">
        <f>(SUM(F10,F11,F21)-F23)/Data!E34</f>
        <v>0.13551247971810218</v>
      </c>
      <c r="G28" s="703">
        <f>(SUM(G10,G11,G21)-G23)/Data!F34</f>
        <v>-0.57841549270498749</v>
      </c>
      <c r="H28" s="703">
        <f>(SUM(H10,H11,H21)-H23)/Data!G34</f>
        <v>0.14306273058986588</v>
      </c>
      <c r="I28" s="703">
        <f>(SUM(I10,I11,I21)-I23)/Data!H34</f>
        <v>0.50312132452670966</v>
      </c>
      <c r="J28" s="703">
        <f>(SUM(J10,J11,J21)-J23)/Data!I34</f>
        <v>0.13511277113709308</v>
      </c>
      <c r="K28" s="703">
        <f>(SUM(K10,K11,K21)-K23)/Data!J34</f>
        <v>0.47378003794313411</v>
      </c>
      <c r="L28" s="36"/>
    </row>
  </sheetData>
  <conditionalFormatting sqref="D6:K6">
    <cfRule type="expression" dxfId="35" priority="36">
      <formula>AND(D$5="Actuals",E$5="Forecast")</formula>
    </cfRule>
  </conditionalFormatting>
  <conditionalFormatting sqref="D5:K5">
    <cfRule type="expression" dxfId="34" priority="29">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8"/>
  <sheetViews>
    <sheetView showGridLines="0" zoomScale="85" zoomScaleNormal="85" workbookViewId="0">
      <pane ySplit="6" topLeftCell="A18" activePane="bottomLeft" state="frozen"/>
      <selection activeCell="B75" sqref="A1:XFD1048576"/>
      <selection pane="bottomLeft" activeCell="E64" sqref="E64"/>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2" customFormat="1" ht="20.25">
      <c r="A1" s="264" t="s">
        <v>265</v>
      </c>
      <c r="B1" s="265"/>
      <c r="C1" s="265"/>
      <c r="D1" s="265"/>
      <c r="E1" s="265"/>
      <c r="F1" s="265"/>
      <c r="G1" s="265"/>
      <c r="H1" s="265"/>
      <c r="I1" s="266"/>
      <c r="J1" s="266"/>
      <c r="K1" s="267"/>
      <c r="L1" s="267"/>
      <c r="M1" s="267"/>
      <c r="N1" s="268"/>
    </row>
    <row r="2" spans="1:14" s="32" customFormat="1" ht="20.25">
      <c r="A2" s="124" t="str">
        <f>'RFPR cover'!C5</f>
        <v>SPD</v>
      </c>
      <c r="B2" s="30"/>
      <c r="C2" s="30"/>
      <c r="D2" s="30"/>
      <c r="E2" s="30"/>
      <c r="F2" s="30"/>
      <c r="G2" s="30"/>
      <c r="H2" s="30"/>
      <c r="I2" s="27"/>
      <c r="J2" s="27"/>
      <c r="K2" s="27"/>
      <c r="L2" s="27"/>
      <c r="M2" s="27"/>
      <c r="N2" s="125"/>
    </row>
    <row r="3" spans="1:14" s="32" customFormat="1" ht="23.25">
      <c r="A3" s="269">
        <f>'RFPR cover'!C7</f>
        <v>2019</v>
      </c>
      <c r="B3" s="937" t="str">
        <f>'R1 - RoRE'!B3</f>
        <v/>
      </c>
      <c r="C3" s="270"/>
      <c r="D3" s="270"/>
      <c r="E3" s="270"/>
      <c r="F3" s="270"/>
      <c r="G3" s="270"/>
      <c r="H3" s="270"/>
      <c r="I3" s="263"/>
      <c r="J3" s="263"/>
      <c r="K3" s="263"/>
      <c r="L3" s="263"/>
      <c r="M3" s="263"/>
      <c r="N3" s="271"/>
    </row>
    <row r="4" spans="1:14" s="32" customFormat="1" ht="12.75" customHeight="1">
      <c r="A4" s="40"/>
      <c r="B4" s="40"/>
      <c r="C4" s="40"/>
      <c r="D4" s="40"/>
      <c r="E4" s="40"/>
      <c r="F4" s="40"/>
      <c r="G4" s="40"/>
      <c r="H4" s="40"/>
      <c r="I4" s="35"/>
      <c r="J4" s="35"/>
      <c r="K4" s="35"/>
      <c r="L4" s="34"/>
    </row>
    <row r="5" spans="1:14" s="2" customFormat="1" ht="12.75" customHeight="1">
      <c r="B5" s="3"/>
      <c r="C5" s="3"/>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row>
    <row r="6" spans="1:14" s="2" customFormat="1" ht="25.5">
      <c r="D6" s="117">
        <f>'RFPR cover'!$C$13</f>
        <v>2016</v>
      </c>
      <c r="E6" s="118">
        <f>D6+1</f>
        <v>2017</v>
      </c>
      <c r="F6" s="118">
        <f t="shared" ref="F6:K6" si="0">E6+1</f>
        <v>2018</v>
      </c>
      <c r="G6" s="118">
        <f t="shared" si="0"/>
        <v>2019</v>
      </c>
      <c r="H6" s="118">
        <f t="shared" si="0"/>
        <v>2020</v>
      </c>
      <c r="I6" s="118">
        <f t="shared" si="0"/>
        <v>2021</v>
      </c>
      <c r="J6" s="118">
        <f t="shared" si="0"/>
        <v>2022</v>
      </c>
      <c r="K6" s="202">
        <f t="shared" si="0"/>
        <v>2023</v>
      </c>
      <c r="L6" s="101" t="str">
        <f>"Cumulative to "&amp;'RFPR cover'!$C$7</f>
        <v>Cumulative to 2019</v>
      </c>
      <c r="M6" s="292" t="s">
        <v>109</v>
      </c>
    </row>
    <row r="7" spans="1:14" s="2" customFormat="1"/>
    <row r="8" spans="1:14">
      <c r="B8" s="501" t="s">
        <v>304</v>
      </c>
      <c r="C8" s="158" t="s">
        <v>128</v>
      </c>
      <c r="D8" s="363">
        <v>39.29999999999999</v>
      </c>
      <c r="E8" s="402">
        <v>38.799999999999997</v>
      </c>
      <c r="F8" s="402">
        <v>37.251288239999994</v>
      </c>
      <c r="G8" s="402">
        <v>37.247566710000001</v>
      </c>
      <c r="H8" s="402">
        <v>39.489678704414004</v>
      </c>
      <c r="I8" s="402">
        <v>40.099505147031962</v>
      </c>
      <c r="J8" s="402">
        <v>37.037029407001519</v>
      </c>
      <c r="K8" s="403">
        <v>37.692550444444436</v>
      </c>
      <c r="L8" s="36"/>
      <c r="M8" s="36"/>
    </row>
    <row r="9" spans="1:14">
      <c r="B9" s="14"/>
      <c r="C9" s="158"/>
      <c r="D9" s="235"/>
      <c r="E9" s="235"/>
      <c r="F9" s="235"/>
      <c r="G9" s="235"/>
      <c r="H9" s="235"/>
      <c r="I9" s="235"/>
      <c r="J9" s="235"/>
      <c r="K9" s="235"/>
      <c r="L9" s="36"/>
      <c r="M9" s="36"/>
    </row>
    <row r="10" spans="1:14">
      <c r="B10" s="14" t="s">
        <v>474</v>
      </c>
      <c r="C10" s="16"/>
      <c r="D10" s="236"/>
      <c r="E10" s="236"/>
      <c r="F10" s="236"/>
      <c r="G10" s="236"/>
      <c r="H10" s="236"/>
      <c r="I10" s="236"/>
      <c r="J10" s="236"/>
      <c r="K10" s="236"/>
      <c r="L10" s="36"/>
      <c r="M10" s="36"/>
    </row>
    <row r="11" spans="1:14">
      <c r="B11" s="386" t="s">
        <v>12</v>
      </c>
      <c r="C11" s="158" t="s">
        <v>128</v>
      </c>
      <c r="D11" s="394">
        <v>0</v>
      </c>
      <c r="E11" s="395">
        <v>0</v>
      </c>
      <c r="F11" s="395">
        <v>0</v>
      </c>
      <c r="G11" s="395">
        <v>0</v>
      </c>
      <c r="H11" s="395">
        <v>0</v>
      </c>
      <c r="I11" s="395">
        <v>0</v>
      </c>
      <c r="J11" s="395">
        <v>0</v>
      </c>
      <c r="K11" s="399">
        <v>0</v>
      </c>
      <c r="L11" s="36"/>
      <c r="M11" s="36"/>
    </row>
    <row r="12" spans="1:14">
      <c r="B12" s="386" t="s">
        <v>13</v>
      </c>
      <c r="C12" s="158" t="s">
        <v>128</v>
      </c>
      <c r="D12" s="362">
        <v>0</v>
      </c>
      <c r="E12" s="396">
        <v>0</v>
      </c>
      <c r="F12" s="396">
        <v>0</v>
      </c>
      <c r="G12" s="396">
        <v>0</v>
      </c>
      <c r="H12" s="396">
        <v>0</v>
      </c>
      <c r="I12" s="396">
        <v>0</v>
      </c>
      <c r="J12" s="396">
        <v>0</v>
      </c>
      <c r="K12" s="400">
        <v>0</v>
      </c>
      <c r="L12" s="36"/>
      <c r="M12" s="36"/>
    </row>
    <row r="13" spans="1:14">
      <c r="B13" s="386" t="s">
        <v>14</v>
      </c>
      <c r="C13" s="158" t="s">
        <v>128</v>
      </c>
      <c r="D13" s="362">
        <v>0</v>
      </c>
      <c r="E13" s="396">
        <v>0</v>
      </c>
      <c r="F13" s="396">
        <v>0</v>
      </c>
      <c r="G13" s="396">
        <v>0</v>
      </c>
      <c r="H13" s="396">
        <v>0</v>
      </c>
      <c r="I13" s="396">
        <v>0</v>
      </c>
      <c r="J13" s="396">
        <v>0</v>
      </c>
      <c r="K13" s="400">
        <v>0</v>
      </c>
      <c r="L13" s="36"/>
      <c r="M13" s="36"/>
    </row>
    <row r="14" spans="1:14">
      <c r="B14" s="386" t="s">
        <v>15</v>
      </c>
      <c r="C14" s="158" t="s">
        <v>128</v>
      </c>
      <c r="D14" s="362">
        <v>0</v>
      </c>
      <c r="E14" s="396">
        <v>0</v>
      </c>
      <c r="F14" s="396">
        <v>0</v>
      </c>
      <c r="G14" s="396">
        <v>0</v>
      </c>
      <c r="H14" s="396">
        <v>0</v>
      </c>
      <c r="I14" s="396">
        <v>0</v>
      </c>
      <c r="J14" s="396">
        <v>0</v>
      </c>
      <c r="K14" s="400">
        <v>0</v>
      </c>
      <c r="L14" s="36"/>
      <c r="M14" s="36"/>
    </row>
    <row r="15" spans="1:14">
      <c r="B15" s="386" t="s">
        <v>16</v>
      </c>
      <c r="C15" s="158" t="s">
        <v>128</v>
      </c>
      <c r="D15" s="362">
        <v>0</v>
      </c>
      <c r="E15" s="396">
        <v>0</v>
      </c>
      <c r="F15" s="396">
        <v>0</v>
      </c>
      <c r="G15" s="396">
        <v>0</v>
      </c>
      <c r="H15" s="396">
        <v>0</v>
      </c>
      <c r="I15" s="396">
        <v>0</v>
      </c>
      <c r="J15" s="396">
        <v>0</v>
      </c>
      <c r="K15" s="400">
        <v>0</v>
      </c>
      <c r="L15" s="36"/>
      <c r="M15" s="36"/>
    </row>
    <row r="16" spans="1:14">
      <c r="B16" s="386" t="s">
        <v>17</v>
      </c>
      <c r="C16" s="158" t="s">
        <v>128</v>
      </c>
      <c r="D16" s="362">
        <v>0</v>
      </c>
      <c r="E16" s="396">
        <v>0</v>
      </c>
      <c r="F16" s="396">
        <v>0</v>
      </c>
      <c r="G16" s="396">
        <v>0</v>
      </c>
      <c r="H16" s="396">
        <v>0</v>
      </c>
      <c r="I16" s="396">
        <v>0</v>
      </c>
      <c r="J16" s="396">
        <v>0</v>
      </c>
      <c r="K16" s="400">
        <v>0</v>
      </c>
      <c r="L16" s="36"/>
    </row>
    <row r="17" spans="2:12">
      <c r="B17" s="386" t="s">
        <v>283</v>
      </c>
      <c r="C17" s="158" t="s">
        <v>128</v>
      </c>
      <c r="D17" s="362">
        <v>0</v>
      </c>
      <c r="E17" s="396">
        <v>0</v>
      </c>
      <c r="F17" s="396">
        <v>0</v>
      </c>
      <c r="G17" s="396">
        <v>0</v>
      </c>
      <c r="H17" s="396">
        <v>0</v>
      </c>
      <c r="I17" s="396">
        <v>0</v>
      </c>
      <c r="J17" s="396">
        <v>0</v>
      </c>
      <c r="K17" s="400">
        <v>0</v>
      </c>
      <c r="L17" s="36"/>
    </row>
    <row r="18" spans="2:12" ht="12.75" customHeight="1">
      <c r="B18" s="386" t="s">
        <v>18</v>
      </c>
      <c r="C18" s="158" t="s">
        <v>128</v>
      </c>
      <c r="D18" s="362">
        <v>0</v>
      </c>
      <c r="E18" s="396">
        <v>0</v>
      </c>
      <c r="F18" s="396">
        <v>0</v>
      </c>
      <c r="G18" s="396">
        <v>0</v>
      </c>
      <c r="H18" s="396">
        <v>0</v>
      </c>
      <c r="I18" s="396">
        <v>0</v>
      </c>
      <c r="J18" s="396">
        <v>0</v>
      </c>
      <c r="K18" s="400">
        <v>0</v>
      </c>
      <c r="L18" s="36"/>
    </row>
    <row r="19" spans="2:12">
      <c r="B19" s="386" t="s">
        <v>353</v>
      </c>
      <c r="C19" s="158" t="s">
        <v>128</v>
      </c>
      <c r="D19" s="362">
        <v>0</v>
      </c>
      <c r="E19" s="396">
        <v>0</v>
      </c>
      <c r="F19" s="396">
        <v>0</v>
      </c>
      <c r="G19" s="396">
        <v>0</v>
      </c>
      <c r="H19" s="396">
        <v>0</v>
      </c>
      <c r="I19" s="396">
        <v>0</v>
      </c>
      <c r="J19" s="396">
        <v>0</v>
      </c>
      <c r="K19" s="400">
        <v>0</v>
      </c>
      <c r="L19" s="36"/>
    </row>
    <row r="20" spans="2:12">
      <c r="B20" s="386" t="s">
        <v>354</v>
      </c>
      <c r="C20" s="158" t="s">
        <v>128</v>
      </c>
      <c r="D20" s="362">
        <v>0</v>
      </c>
      <c r="E20" s="396">
        <v>0</v>
      </c>
      <c r="F20" s="396">
        <v>0</v>
      </c>
      <c r="G20" s="396">
        <v>0</v>
      </c>
      <c r="H20" s="396">
        <v>0</v>
      </c>
      <c r="I20" s="396">
        <v>0</v>
      </c>
      <c r="J20" s="396">
        <v>0</v>
      </c>
      <c r="K20" s="400">
        <v>0</v>
      </c>
      <c r="L20" s="36"/>
    </row>
    <row r="21" spans="2:12">
      <c r="B21" s="386" t="s">
        <v>355</v>
      </c>
      <c r="C21" s="158" t="s">
        <v>128</v>
      </c>
      <c r="D21" s="362">
        <v>0</v>
      </c>
      <c r="E21" s="396">
        <v>0</v>
      </c>
      <c r="F21" s="396">
        <v>0</v>
      </c>
      <c r="G21" s="396">
        <v>0</v>
      </c>
      <c r="H21" s="396">
        <v>0</v>
      </c>
      <c r="I21" s="396">
        <v>0</v>
      </c>
      <c r="J21" s="396">
        <v>0</v>
      </c>
      <c r="K21" s="400">
        <v>0</v>
      </c>
      <c r="L21" s="36"/>
    </row>
    <row r="22" spans="2:12">
      <c r="B22" s="386" t="s">
        <v>356</v>
      </c>
      <c r="C22" s="158" t="s">
        <v>128</v>
      </c>
      <c r="D22" s="362">
        <v>0</v>
      </c>
      <c r="E22" s="396">
        <v>0</v>
      </c>
      <c r="F22" s="396">
        <v>0</v>
      </c>
      <c r="G22" s="396">
        <v>0</v>
      </c>
      <c r="H22" s="396">
        <v>0</v>
      </c>
      <c r="I22" s="396">
        <v>0</v>
      </c>
      <c r="J22" s="396">
        <v>0</v>
      </c>
      <c r="K22" s="400">
        <v>0</v>
      </c>
      <c r="L22" s="36"/>
    </row>
    <row r="23" spans="2:12">
      <c r="B23" s="386" t="s">
        <v>357</v>
      </c>
      <c r="C23" s="158" t="s">
        <v>128</v>
      </c>
      <c r="D23" s="362">
        <v>0</v>
      </c>
      <c r="E23" s="396">
        <v>0</v>
      </c>
      <c r="F23" s="396">
        <v>0</v>
      </c>
      <c r="G23" s="396">
        <v>0</v>
      </c>
      <c r="H23" s="396">
        <v>0</v>
      </c>
      <c r="I23" s="396">
        <v>0</v>
      </c>
      <c r="J23" s="396">
        <v>0</v>
      </c>
      <c r="K23" s="400">
        <v>0</v>
      </c>
      <c r="L23" s="36"/>
    </row>
    <row r="24" spans="2:12">
      <c r="B24" s="386" t="s">
        <v>358</v>
      </c>
      <c r="C24" s="158" t="s">
        <v>128</v>
      </c>
      <c r="D24" s="362">
        <v>0</v>
      </c>
      <c r="E24" s="396">
        <v>0</v>
      </c>
      <c r="F24" s="396">
        <v>0</v>
      </c>
      <c r="G24" s="396">
        <v>0</v>
      </c>
      <c r="H24" s="396">
        <v>0</v>
      </c>
      <c r="I24" s="396">
        <v>0</v>
      </c>
      <c r="J24" s="396">
        <v>0</v>
      </c>
      <c r="K24" s="400">
        <v>0</v>
      </c>
      <c r="L24" s="36"/>
    </row>
    <row r="25" spans="2:12">
      <c r="B25" s="386" t="s">
        <v>359</v>
      </c>
      <c r="C25" s="158" t="s">
        <v>128</v>
      </c>
      <c r="D25" s="362">
        <v>0</v>
      </c>
      <c r="E25" s="396">
        <v>0</v>
      </c>
      <c r="F25" s="396">
        <v>0</v>
      </c>
      <c r="G25" s="396">
        <v>0</v>
      </c>
      <c r="H25" s="396">
        <v>0</v>
      </c>
      <c r="I25" s="396">
        <v>0</v>
      </c>
      <c r="J25" s="396">
        <v>0</v>
      </c>
      <c r="K25" s="400">
        <v>0</v>
      </c>
      <c r="L25" s="36"/>
    </row>
    <row r="26" spans="2:12">
      <c r="B26" s="386" t="s">
        <v>360</v>
      </c>
      <c r="C26" s="158" t="s">
        <v>128</v>
      </c>
      <c r="D26" s="362">
        <v>0</v>
      </c>
      <c r="E26" s="396">
        <v>0</v>
      </c>
      <c r="F26" s="396">
        <v>0</v>
      </c>
      <c r="G26" s="396">
        <v>0</v>
      </c>
      <c r="H26" s="396">
        <v>0</v>
      </c>
      <c r="I26" s="396">
        <v>0</v>
      </c>
      <c r="J26" s="396">
        <v>0</v>
      </c>
      <c r="K26" s="400">
        <v>0</v>
      </c>
      <c r="L26" s="36"/>
    </row>
    <row r="27" spans="2:12">
      <c r="B27" s="386" t="s">
        <v>361</v>
      </c>
      <c r="C27" s="158" t="s">
        <v>128</v>
      </c>
      <c r="D27" s="397">
        <v>0</v>
      </c>
      <c r="E27" s="398">
        <v>0</v>
      </c>
      <c r="F27" s="398">
        <v>0</v>
      </c>
      <c r="G27" s="398">
        <v>0</v>
      </c>
      <c r="H27" s="398">
        <v>0</v>
      </c>
      <c r="I27" s="398">
        <v>0</v>
      </c>
      <c r="J27" s="398">
        <v>0</v>
      </c>
      <c r="K27" s="401">
        <v>0</v>
      </c>
      <c r="L27" s="36"/>
    </row>
    <row r="28" spans="2:12">
      <c r="B28" s="13" t="s">
        <v>19</v>
      </c>
      <c r="C28" s="158" t="s">
        <v>128</v>
      </c>
      <c r="D28" s="148">
        <f t="shared" ref="D28:K28" si="1">SUM(D8,D11:D27)</f>
        <v>39.29999999999999</v>
      </c>
      <c r="E28" s="149">
        <f t="shared" si="1"/>
        <v>38.799999999999997</v>
      </c>
      <c r="F28" s="149">
        <f t="shared" si="1"/>
        <v>37.251288239999994</v>
      </c>
      <c r="G28" s="149">
        <f t="shared" si="1"/>
        <v>37.247566710000001</v>
      </c>
      <c r="H28" s="149">
        <f t="shared" si="1"/>
        <v>39.489678704414004</v>
      </c>
      <c r="I28" s="149">
        <f t="shared" si="1"/>
        <v>40.099505147031962</v>
      </c>
      <c r="J28" s="149">
        <f t="shared" si="1"/>
        <v>37.037029407001519</v>
      </c>
      <c r="K28" s="150">
        <f t="shared" si="1"/>
        <v>37.692550444444436</v>
      </c>
      <c r="L28" s="36"/>
    </row>
    <row r="29" spans="2:12">
      <c r="B29" s="387" t="s">
        <v>306</v>
      </c>
      <c r="C29" s="158" t="s">
        <v>128</v>
      </c>
      <c r="D29" s="404"/>
      <c r="E29" s="405"/>
      <c r="F29" s="405"/>
      <c r="G29" s="704"/>
      <c r="H29" s="704">
        <v>1.8530639843407073</v>
      </c>
      <c r="I29" s="704">
        <v>6.7345864022535515</v>
      </c>
      <c r="J29" s="704">
        <v>10.8263891763789</v>
      </c>
      <c r="K29" s="705">
        <v>16.640664817546945</v>
      </c>
      <c r="L29" s="36"/>
    </row>
    <row r="30" spans="2:12">
      <c r="B30" s="361" t="s">
        <v>305</v>
      </c>
      <c r="C30" s="158" t="s">
        <v>128</v>
      </c>
      <c r="D30" s="148">
        <f>SUM(D28:D29)</f>
        <v>39.29999999999999</v>
      </c>
      <c r="E30" s="149">
        <f t="shared" ref="E30:K30" si="2">SUM(E28:E29)</f>
        <v>38.799999999999997</v>
      </c>
      <c r="F30" s="149">
        <f t="shared" si="2"/>
        <v>37.251288239999994</v>
      </c>
      <c r="G30" s="149">
        <f t="shared" si="2"/>
        <v>37.247566710000001</v>
      </c>
      <c r="H30" s="149">
        <f t="shared" si="2"/>
        <v>41.342742688754711</v>
      </c>
      <c r="I30" s="149">
        <f t="shared" si="2"/>
        <v>46.834091549285517</v>
      </c>
      <c r="J30" s="149">
        <f t="shared" si="2"/>
        <v>47.863418583380422</v>
      </c>
      <c r="K30" s="150">
        <f t="shared" si="2"/>
        <v>54.333215261991384</v>
      </c>
    </row>
    <row r="31" spans="2:12">
      <c r="B31" s="221" t="s">
        <v>21</v>
      </c>
      <c r="C31" s="158" t="s">
        <v>128</v>
      </c>
      <c r="D31" s="610">
        <v>20.850808579999999</v>
      </c>
      <c r="E31" s="611">
        <v>20.851048310000003</v>
      </c>
      <c r="F31" s="611">
        <v>20.851288239999999</v>
      </c>
      <c r="G31" s="611">
        <v>20.85152836</v>
      </c>
      <c r="H31" s="611">
        <v>20.5625</v>
      </c>
      <c r="I31" s="611">
        <v>20.5625</v>
      </c>
      <c r="J31" s="611">
        <v>20.5625</v>
      </c>
      <c r="K31" s="706">
        <v>20.5625</v>
      </c>
    </row>
    <row r="32" spans="2:12">
      <c r="B32" s="221" t="s">
        <v>468</v>
      </c>
      <c r="C32" s="158" t="s">
        <v>128</v>
      </c>
      <c r="D32" s="614">
        <v>18.449191419999991</v>
      </c>
      <c r="E32" s="615">
        <v>17.948951689999994</v>
      </c>
      <c r="F32" s="615">
        <v>16.399999999999995</v>
      </c>
      <c r="G32" s="615">
        <v>16.396038350000001</v>
      </c>
      <c r="H32" s="615">
        <v>20.714698350358756</v>
      </c>
      <c r="I32" s="615">
        <v>26.271591549285514</v>
      </c>
      <c r="J32" s="615">
        <v>27.300918583380419</v>
      </c>
      <c r="K32" s="707">
        <v>33.770715261991384</v>
      </c>
    </row>
    <row r="33" spans="2:14">
      <c r="B33" s="221"/>
      <c r="D33" s="232" t="str">
        <f>IF(ABS(D30-SUM(D31:D32))&lt;'RFPR cover'!$F$14,"OK","ERROR")</f>
        <v>OK</v>
      </c>
      <c r="E33" s="233" t="str">
        <f>IF(ABS(E30-SUM(E31:E32))&lt;'RFPR cover'!$F$14,"OK","ERROR")</f>
        <v>OK</v>
      </c>
      <c r="F33" s="233" t="str">
        <f>IF(ABS(F30-SUM(F31:F32))&lt;'RFPR cover'!$F$14,"OK","ERROR")</f>
        <v>OK</v>
      </c>
      <c r="G33" s="233" t="str">
        <f>IF(ABS(G30-SUM(G31:G32))&lt;'RFPR cover'!$F$14,"OK","ERROR")</f>
        <v>OK</v>
      </c>
      <c r="H33" s="233" t="str">
        <f>IF(ABS(H30-SUM(H31:H32))&lt;'RFPR cover'!$F$14,"OK","ERROR")</f>
        <v>OK</v>
      </c>
      <c r="I33" s="233" t="str">
        <f>IF(ABS(I30-SUM(I31:I32))&lt;'RFPR cover'!$F$14,"OK","ERROR")</f>
        <v>OK</v>
      </c>
      <c r="J33" s="233" t="str">
        <f>IF(ABS(J30-SUM(J31:J32))&lt;'RFPR cover'!$F$14,"OK","ERROR")</f>
        <v>OK</v>
      </c>
      <c r="K33" s="234" t="str">
        <f>IF(ABS(K30-SUM(K31:K32))&lt;'RFPR cover'!$F$14,"OK","ERROR")</f>
        <v>OK</v>
      </c>
    </row>
    <row r="34" spans="2:14">
      <c r="D34" s="23"/>
      <c r="E34" s="23"/>
      <c r="F34" s="23"/>
      <c r="G34" s="23"/>
      <c r="H34" s="23"/>
      <c r="I34" s="23"/>
      <c r="J34" s="23"/>
      <c r="K34" s="23"/>
    </row>
    <row r="35" spans="2:14">
      <c r="B35" s="221" t="s">
        <v>531</v>
      </c>
      <c r="C35" s="158" t="s">
        <v>128</v>
      </c>
      <c r="D35" s="610">
        <v>0</v>
      </c>
      <c r="E35" s="611">
        <v>0</v>
      </c>
      <c r="F35" s="611">
        <v>0</v>
      </c>
      <c r="G35" s="611">
        <v>0</v>
      </c>
      <c r="H35" s="611">
        <v>0</v>
      </c>
      <c r="I35" s="611">
        <v>0</v>
      </c>
      <c r="J35" s="611">
        <v>0</v>
      </c>
      <c r="K35" s="706">
        <v>0</v>
      </c>
    </row>
    <row r="36" spans="2:14">
      <c r="D36" s="23"/>
      <c r="E36" s="23"/>
      <c r="F36" s="23"/>
      <c r="G36" s="23"/>
      <c r="H36" s="23"/>
      <c r="I36" s="23"/>
      <c r="J36" s="23"/>
      <c r="K36" s="23"/>
    </row>
    <row r="37" spans="2:14">
      <c r="B37" s="221" t="s">
        <v>82</v>
      </c>
      <c r="C37" s="158" t="s">
        <v>128</v>
      </c>
      <c r="D37" s="914">
        <v>10.89730740609437</v>
      </c>
      <c r="E37" s="914">
        <v>21.99318359653563</v>
      </c>
      <c r="F37" s="914">
        <v>40.290111399589506</v>
      </c>
      <c r="G37" s="914">
        <v>34.457636736653505</v>
      </c>
      <c r="H37" s="914">
        <v>31.639509976853304</v>
      </c>
      <c r="I37" s="914">
        <v>35.612997944299437</v>
      </c>
      <c r="J37" s="914">
        <v>39.924360781490691</v>
      </c>
      <c r="K37" s="914">
        <v>41.555584489847071</v>
      </c>
      <c r="N37" s="337"/>
    </row>
    <row r="38" spans="2:14" s="32" customFormat="1">
      <c r="B38" s="220"/>
      <c r="C38" s="853"/>
      <c r="D38" s="855"/>
      <c r="E38" s="855"/>
      <c r="F38" s="855"/>
      <c r="G38" s="855"/>
      <c r="H38" s="855"/>
      <c r="I38" s="855"/>
      <c r="J38" s="855"/>
      <c r="K38" s="855"/>
      <c r="L38"/>
      <c r="M38"/>
      <c r="N38" s="854"/>
    </row>
    <row r="39" spans="2:14">
      <c r="B39" s="221" t="s">
        <v>482</v>
      </c>
      <c r="C39" s="158" t="s">
        <v>128</v>
      </c>
      <c r="D39" s="102">
        <f t="shared" ref="D39:K39" si="3">D30-D37</f>
        <v>28.40269259390562</v>
      </c>
      <c r="E39" s="102">
        <f t="shared" si="3"/>
        <v>16.806816403464367</v>
      </c>
      <c r="F39" s="102">
        <f t="shared" si="3"/>
        <v>-3.0388231595895121</v>
      </c>
      <c r="G39" s="102">
        <f t="shared" si="3"/>
        <v>2.7899299733464957</v>
      </c>
      <c r="H39" s="102">
        <f t="shared" si="3"/>
        <v>9.703232711901407</v>
      </c>
      <c r="I39" s="102">
        <f t="shared" si="3"/>
        <v>11.221093604986081</v>
      </c>
      <c r="J39" s="102">
        <f t="shared" si="3"/>
        <v>7.9390578018897315</v>
      </c>
      <c r="K39" s="102">
        <f t="shared" si="3"/>
        <v>12.777630772144313</v>
      </c>
    </row>
    <row r="40" spans="2:14">
      <c r="B40" s="221"/>
      <c r="C40" s="158"/>
      <c r="D40" s="158"/>
      <c r="E40" s="158"/>
      <c r="F40" s="158"/>
      <c r="G40" s="158"/>
      <c r="H40" s="158"/>
      <c r="I40" s="158"/>
      <c r="J40" s="158"/>
      <c r="K40" s="158"/>
      <c r="L40" s="158"/>
      <c r="N40" s="337"/>
    </row>
    <row r="41" spans="2:14">
      <c r="B41" s="883" t="s">
        <v>372</v>
      </c>
      <c r="C41" s="158" t="s">
        <v>127</v>
      </c>
      <c r="D41" s="527">
        <f>Data!C34</f>
        <v>1.0603167467048125</v>
      </c>
      <c r="E41" s="527">
        <f>Data!D34</f>
        <v>1.0830366813119445</v>
      </c>
      <c r="F41" s="527">
        <f>Data!E34</f>
        <v>1.1235639113109226</v>
      </c>
      <c r="G41" s="527">
        <f>Data!F34</f>
        <v>1.1578951670583426</v>
      </c>
      <c r="H41" s="527">
        <f>Data!G34</f>
        <v>1.1882899151936241</v>
      </c>
      <c r="I41" s="527">
        <f>Data!H34</f>
        <v>1.2212649603402472</v>
      </c>
      <c r="J41" s="527">
        <f>Data!I34</f>
        <v>1.2582082253905398</v>
      </c>
      <c r="K41" s="527">
        <f>Data!J34</f>
        <v>1.296898128321299</v>
      </c>
      <c r="L41" s="158"/>
      <c r="N41" s="337"/>
    </row>
    <row r="42" spans="2:14">
      <c r="L42" s="161"/>
      <c r="M42" s="161"/>
      <c r="N42" s="161"/>
    </row>
    <row r="43" spans="2:14">
      <c r="B43" s="864" t="s">
        <v>428</v>
      </c>
      <c r="C43" s="162" t="str">
        <f>'RFPR cover'!$C$14</f>
        <v>£m 12/13</v>
      </c>
      <c r="D43" s="151">
        <f t="shared" ref="D43:K43" si="4">D39/D41</f>
        <v>26.786988588243815</v>
      </c>
      <c r="E43" s="152">
        <f t="shared" si="4"/>
        <v>15.518233771274769</v>
      </c>
      <c r="F43" s="152">
        <f t="shared" si="4"/>
        <v>-2.7046286633075933</v>
      </c>
      <c r="G43" s="152">
        <f t="shared" si="4"/>
        <v>2.4094840817363221</v>
      </c>
      <c r="H43" s="152">
        <f t="shared" si="4"/>
        <v>8.165711572432496</v>
      </c>
      <c r="I43" s="152">
        <f t="shared" si="4"/>
        <v>9.1880910116833761</v>
      </c>
      <c r="J43" s="152">
        <f t="shared" si="4"/>
        <v>6.3098123519463556</v>
      </c>
      <c r="K43" s="153">
        <f t="shared" si="4"/>
        <v>9.8524552492674502</v>
      </c>
      <c r="L43" s="713">
        <f>SUM(D43:INDEX(D43:K43,0,MATCH('RFPR cover'!$C$7,$D$6:$K$6,0)))</f>
        <v>42.010077777947309</v>
      </c>
      <c r="M43" s="714">
        <f>SUM(D43:K43)</f>
        <v>75.526147963276983</v>
      </c>
    </row>
    <row r="44" spans="2:14">
      <c r="B44" s="221"/>
      <c r="C44" s="65"/>
      <c r="D44" s="836"/>
      <c r="E44" s="836"/>
      <c r="F44" s="836"/>
      <c r="G44" s="836"/>
      <c r="H44" s="836"/>
      <c r="I44" s="836"/>
      <c r="J44" s="836"/>
      <c r="K44" s="836"/>
      <c r="L44" s="859"/>
      <c r="M44" s="859"/>
    </row>
    <row r="45" spans="2:14">
      <c r="B45" s="864" t="s">
        <v>519</v>
      </c>
      <c r="C45" s="158"/>
      <c r="D45" s="836"/>
      <c r="E45" s="836"/>
      <c r="F45" s="836"/>
      <c r="G45" s="836"/>
      <c r="H45" s="836"/>
      <c r="I45" s="836"/>
      <c r="J45" s="836"/>
      <c r="K45" s="836"/>
      <c r="L45" s="859"/>
      <c r="M45" s="859"/>
    </row>
    <row r="46" spans="2:14">
      <c r="B46" s="386" t="s">
        <v>503</v>
      </c>
      <c r="C46" s="158" t="s">
        <v>128</v>
      </c>
      <c r="D46" s="911">
        <v>0</v>
      </c>
      <c r="E46" s="911">
        <v>0</v>
      </c>
      <c r="F46" s="911">
        <v>0</v>
      </c>
      <c r="G46" s="911">
        <v>0</v>
      </c>
      <c r="H46" s="911">
        <v>0</v>
      </c>
      <c r="I46" s="911">
        <v>0</v>
      </c>
      <c r="J46" s="911">
        <v>0</v>
      </c>
      <c r="K46" s="911">
        <v>0</v>
      </c>
      <c r="L46" s="912">
        <v>0</v>
      </c>
      <c r="M46" s="913">
        <v>0</v>
      </c>
    </row>
    <row r="47" spans="2:14">
      <c r="B47" s="386" t="s">
        <v>522</v>
      </c>
      <c r="C47" s="158" t="s">
        <v>128</v>
      </c>
      <c r="D47" s="911">
        <v>0</v>
      </c>
      <c r="E47" s="911">
        <v>0</v>
      </c>
      <c r="F47" s="911">
        <v>0</v>
      </c>
      <c r="G47" s="911">
        <v>0</v>
      </c>
      <c r="H47" s="911">
        <v>0</v>
      </c>
      <c r="I47" s="911">
        <v>0</v>
      </c>
      <c r="J47" s="911">
        <v>0</v>
      </c>
      <c r="K47" s="911">
        <v>0</v>
      </c>
      <c r="L47" s="912">
        <v>0</v>
      </c>
      <c r="M47" s="913">
        <v>0</v>
      </c>
    </row>
    <row r="48" spans="2:14">
      <c r="B48" s="386" t="s">
        <v>523</v>
      </c>
      <c r="C48" s="158" t="s">
        <v>128</v>
      </c>
      <c r="D48" s="911">
        <v>0</v>
      </c>
      <c r="E48" s="911">
        <v>0</v>
      </c>
      <c r="F48" s="911">
        <v>0</v>
      </c>
      <c r="G48" s="911">
        <v>0</v>
      </c>
      <c r="H48" s="911">
        <v>0</v>
      </c>
      <c r="I48" s="911">
        <v>0</v>
      </c>
      <c r="J48" s="911">
        <v>0</v>
      </c>
      <c r="K48" s="911">
        <v>0</v>
      </c>
      <c r="L48" s="912">
        <v>0</v>
      </c>
      <c r="M48" s="913">
        <v>0</v>
      </c>
    </row>
    <row r="49" spans="1:14">
      <c r="B49" s="386" t="s">
        <v>504</v>
      </c>
      <c r="C49" s="158" t="s">
        <v>128</v>
      </c>
      <c r="D49" s="911">
        <v>0</v>
      </c>
      <c r="E49" s="911">
        <v>0</v>
      </c>
      <c r="F49" s="911">
        <v>0</v>
      </c>
      <c r="G49" s="911">
        <v>0</v>
      </c>
      <c r="H49" s="911">
        <v>0</v>
      </c>
      <c r="I49" s="911">
        <v>0</v>
      </c>
      <c r="J49" s="911">
        <v>0</v>
      </c>
      <c r="K49" s="911">
        <v>0</v>
      </c>
      <c r="L49" s="912">
        <v>0</v>
      </c>
      <c r="M49" s="913">
        <v>0</v>
      </c>
    </row>
    <row r="50" spans="1:14">
      <c r="B50" s="386" t="s">
        <v>504</v>
      </c>
      <c r="C50" s="158" t="s">
        <v>128</v>
      </c>
      <c r="D50" s="911">
        <v>0</v>
      </c>
      <c r="E50" s="911">
        <v>0</v>
      </c>
      <c r="F50" s="911">
        <v>0</v>
      </c>
      <c r="G50" s="911">
        <v>0</v>
      </c>
      <c r="H50" s="911">
        <v>0</v>
      </c>
      <c r="I50" s="911">
        <v>0</v>
      </c>
      <c r="J50" s="911">
        <v>0</v>
      </c>
      <c r="K50" s="911">
        <v>0</v>
      </c>
      <c r="L50" s="912">
        <v>0</v>
      </c>
      <c r="M50" s="913">
        <v>0</v>
      </c>
    </row>
    <row r="51" spans="1:14">
      <c r="B51" s="386" t="s">
        <v>504</v>
      </c>
      <c r="C51" s="158" t="s">
        <v>128</v>
      </c>
      <c r="D51" s="911">
        <v>0</v>
      </c>
      <c r="E51" s="911">
        <v>0</v>
      </c>
      <c r="F51" s="911">
        <v>0</v>
      </c>
      <c r="G51" s="911">
        <v>0</v>
      </c>
      <c r="H51" s="911">
        <v>0</v>
      </c>
      <c r="I51" s="911">
        <v>0</v>
      </c>
      <c r="J51" s="911">
        <v>0</v>
      </c>
      <c r="K51" s="911">
        <v>0</v>
      </c>
      <c r="L51" s="912">
        <v>0</v>
      </c>
      <c r="M51" s="913">
        <v>0</v>
      </c>
    </row>
    <row r="52" spans="1:14">
      <c r="B52" s="386" t="s">
        <v>504</v>
      </c>
      <c r="C52" s="158" t="s">
        <v>128</v>
      </c>
      <c r="D52" s="911">
        <v>0</v>
      </c>
      <c r="E52" s="911">
        <v>0</v>
      </c>
      <c r="F52" s="911">
        <v>0</v>
      </c>
      <c r="G52" s="911">
        <v>0</v>
      </c>
      <c r="H52" s="911">
        <v>0</v>
      </c>
      <c r="I52" s="911">
        <v>0</v>
      </c>
      <c r="J52" s="911">
        <v>0</v>
      </c>
      <c r="K52" s="911">
        <v>0</v>
      </c>
      <c r="L52" s="912">
        <v>0</v>
      </c>
      <c r="M52" s="913">
        <v>0</v>
      </c>
    </row>
    <row r="53" spans="1:14" s="895" customFormat="1">
      <c r="B53" s="894"/>
      <c r="C53" s="896"/>
      <c r="D53" s="897"/>
      <c r="E53" s="897"/>
      <c r="F53" s="897"/>
      <c r="G53" s="897"/>
      <c r="H53" s="897"/>
      <c r="I53" s="897"/>
      <c r="J53" s="897"/>
      <c r="K53" s="897"/>
      <c r="L53" s="898"/>
      <c r="M53" s="898"/>
    </row>
    <row r="54" spans="1:14">
      <c r="B54" s="889" t="s">
        <v>520</v>
      </c>
      <c r="C54" s="241" t="s">
        <v>128</v>
      </c>
      <c r="D54" s="151">
        <f>SUM(D46:D52)</f>
        <v>0</v>
      </c>
      <c r="E54" s="151">
        <f t="shared" ref="E54:K54" si="5">SUM(E46:E52)</f>
        <v>0</v>
      </c>
      <c r="F54" s="151">
        <f t="shared" si="5"/>
        <v>0</v>
      </c>
      <c r="G54" s="151">
        <f t="shared" si="5"/>
        <v>0</v>
      </c>
      <c r="H54" s="151">
        <f t="shared" si="5"/>
        <v>0</v>
      </c>
      <c r="I54" s="151">
        <f t="shared" si="5"/>
        <v>0</v>
      </c>
      <c r="J54" s="151">
        <f t="shared" si="5"/>
        <v>0</v>
      </c>
      <c r="K54" s="151">
        <f t="shared" si="5"/>
        <v>0</v>
      </c>
      <c r="L54" s="713">
        <f>SUM(D54:INDEX(D54:K54,0,MATCH('RFPR cover'!$C$7,$D$6:$K$6,0)))</f>
        <v>0</v>
      </c>
      <c r="M54" s="714">
        <f t="shared" ref="M54" si="6">SUM(D54:K54)</f>
        <v>0</v>
      </c>
    </row>
    <row r="55" spans="1:14">
      <c r="B55" s="889" t="s">
        <v>520</v>
      </c>
      <c r="C55" s="162" t="str">
        <f>'RFPR cover'!$C$14</f>
        <v>£m 12/13</v>
      </c>
      <c r="D55" s="151">
        <f>D54/D41</f>
        <v>0</v>
      </c>
      <c r="E55" s="151">
        <f t="shared" ref="E55:K55" si="7">E54/E41</f>
        <v>0</v>
      </c>
      <c r="F55" s="151">
        <f t="shared" si="7"/>
        <v>0</v>
      </c>
      <c r="G55" s="151">
        <f t="shared" si="7"/>
        <v>0</v>
      </c>
      <c r="H55" s="151">
        <f t="shared" si="7"/>
        <v>0</v>
      </c>
      <c r="I55" s="151">
        <f t="shared" si="7"/>
        <v>0</v>
      </c>
      <c r="J55" s="151">
        <f t="shared" si="7"/>
        <v>0</v>
      </c>
      <c r="K55" s="151">
        <f t="shared" si="7"/>
        <v>0</v>
      </c>
      <c r="L55" s="713">
        <f>SUM(D55:INDEX(D55:K55,0,MATCH('RFPR cover'!$C$7,$D$6:$K$6,0)))</f>
        <v>0</v>
      </c>
      <c r="M55" s="714">
        <f>SUM(D55:K55)</f>
        <v>0</v>
      </c>
    </row>
    <row r="56" spans="1:14">
      <c r="B56" s="221"/>
      <c r="C56" s="65"/>
      <c r="D56" s="836"/>
      <c r="E56" s="836"/>
      <c r="F56" s="836"/>
      <c r="G56" s="836"/>
      <c r="H56" s="836"/>
      <c r="I56" s="836"/>
      <c r="J56" s="836"/>
      <c r="K56" s="836"/>
      <c r="L56" s="859"/>
      <c r="M56" s="859"/>
    </row>
    <row r="57" spans="1:14" s="2" customFormat="1">
      <c r="A57" s="1"/>
    </row>
    <row r="58" spans="1:14" s="2" customFormat="1">
      <c r="A58" s="1"/>
      <c r="B58" s="860" t="s">
        <v>438</v>
      </c>
      <c r="C58" s="80"/>
      <c r="D58" s="80"/>
      <c r="E58" s="80"/>
      <c r="F58" s="80"/>
      <c r="G58" s="80"/>
      <c r="H58" s="80"/>
      <c r="I58" s="80"/>
      <c r="J58" s="80"/>
      <c r="K58" s="80"/>
      <c r="L58" s="80"/>
      <c r="M58" s="80"/>
      <c r="N58" s="80"/>
    </row>
    <row r="59" spans="1:14" s="2" customFormat="1">
      <c r="A59" s="1"/>
      <c r="B59" s="385" t="s">
        <v>439</v>
      </c>
    </row>
    <row r="60" spans="1:14" s="2" customFormat="1">
      <c r="A60" s="1"/>
    </row>
    <row r="61" spans="1:14" s="32" customFormat="1">
      <c r="B61" s="221" t="s">
        <v>115</v>
      </c>
      <c r="C61" s="161" t="s">
        <v>7</v>
      </c>
      <c r="D61" s="922">
        <f>'RFPR cover'!$C$12</f>
        <v>0.65</v>
      </c>
      <c r="E61" s="923">
        <f>'RFPR cover'!$C$12</f>
        <v>0.65</v>
      </c>
      <c r="F61" s="923">
        <f>'RFPR cover'!$C$12</f>
        <v>0.65</v>
      </c>
      <c r="G61" s="923">
        <f>'RFPR cover'!$C$12</f>
        <v>0.65</v>
      </c>
      <c r="H61" s="923">
        <f>'RFPR cover'!$C$12</f>
        <v>0.65</v>
      </c>
      <c r="I61" s="923">
        <f>'RFPR cover'!$C$12</f>
        <v>0.65</v>
      </c>
      <c r="J61" s="923">
        <f>'RFPR cover'!$C$12</f>
        <v>0.65</v>
      </c>
      <c r="K61" s="924">
        <f>'RFPR cover'!$C$12</f>
        <v>0.65</v>
      </c>
      <c r="N61" s="854"/>
    </row>
    <row r="62" spans="1:14" s="32" customFormat="1">
      <c r="B62" s="221" t="s">
        <v>401</v>
      </c>
      <c r="C62" s="161" t="s">
        <v>7</v>
      </c>
      <c r="D62" s="923">
        <f>'R8 - Net Debt'!D64</f>
        <v>0.62542022670402841</v>
      </c>
      <c r="E62" s="923">
        <f>'R8 - Net Debt'!E64</f>
        <v>0.61560247382389766</v>
      </c>
      <c r="F62" s="923">
        <f>'R8 - Net Debt'!F64</f>
        <v>0.61819146650557921</v>
      </c>
      <c r="G62" s="923">
        <f>'R8 - Net Debt'!G64</f>
        <v>0.61855469625149417</v>
      </c>
      <c r="H62" s="923">
        <f>'R8 - Net Debt'!H64</f>
        <v>0.63344063238084636</v>
      </c>
      <c r="I62" s="923">
        <f>'R8 - Net Debt'!I64</f>
        <v>0.65034111947629714</v>
      </c>
      <c r="J62" s="923">
        <f>'R8 - Net Debt'!J64</f>
        <v>0.64933604890122554</v>
      </c>
      <c r="K62" s="924">
        <f>'R8 - Net Debt'!K64</f>
        <v>0.64871586477479948</v>
      </c>
      <c r="N62" s="854"/>
    </row>
    <row r="63" spans="1:14" s="32" customFormat="1">
      <c r="B63" s="221"/>
      <c r="C63" s="161"/>
      <c r="D63" s="161"/>
      <c r="E63" s="161"/>
      <c r="F63" s="161"/>
      <c r="G63" s="161"/>
      <c r="H63" s="161"/>
      <c r="I63" s="161"/>
      <c r="J63" s="161"/>
      <c r="K63" s="161"/>
      <c r="N63" s="854"/>
    </row>
    <row r="64" spans="1:14">
      <c r="B64" s="221" t="s">
        <v>428</v>
      </c>
      <c r="C64" s="158" t="s">
        <v>128</v>
      </c>
      <c r="D64" s="95">
        <f t="shared" ref="D64:K64" si="8">D39</f>
        <v>28.40269259390562</v>
      </c>
      <c r="E64" s="96">
        <f t="shared" si="8"/>
        <v>16.806816403464367</v>
      </c>
      <c r="F64" s="96">
        <f t="shared" si="8"/>
        <v>-3.0388231595895121</v>
      </c>
      <c r="G64" s="96">
        <f t="shared" si="8"/>
        <v>2.7899299733464957</v>
      </c>
      <c r="H64" s="96">
        <f t="shared" si="8"/>
        <v>9.703232711901407</v>
      </c>
      <c r="I64" s="96">
        <f t="shared" si="8"/>
        <v>11.221093604986081</v>
      </c>
      <c r="J64" s="96">
        <f t="shared" si="8"/>
        <v>7.9390578018897315</v>
      </c>
      <c r="K64" s="97">
        <f t="shared" si="8"/>
        <v>12.777630772144313</v>
      </c>
      <c r="L64" s="32"/>
      <c r="M64" s="32"/>
    </row>
    <row r="65" spans="2:15" s="32" customFormat="1">
      <c r="B65" s="221" t="s">
        <v>446</v>
      </c>
      <c r="C65" s="158" t="s">
        <v>128</v>
      </c>
      <c r="D65" s="95">
        <f>((D61-D62)/D62)*D64</f>
        <v>1.116260260133469</v>
      </c>
      <c r="E65" s="95">
        <f t="shared" ref="E65:K65" si="9">((E61-E62)/E62)*E64</f>
        <v>0.93910101365266774</v>
      </c>
      <c r="F65" s="95">
        <f t="shared" si="9"/>
        <v>-0.15636014647988075</v>
      </c>
      <c r="G65" s="95">
        <f t="shared" si="9"/>
        <v>0.14183094232506116</v>
      </c>
      <c r="H65" s="95">
        <f t="shared" si="9"/>
        <v>0.2536613367643375</v>
      </c>
      <c r="I65" s="95">
        <f t="shared" si="9"/>
        <v>-5.8857320556573731E-3</v>
      </c>
      <c r="J65" s="95">
        <f t="shared" si="9"/>
        <v>8.1177475972855732E-3</v>
      </c>
      <c r="K65" s="95">
        <f t="shared" si="9"/>
        <v>2.5293362872839599E-2</v>
      </c>
      <c r="N65" s="854"/>
    </row>
    <row r="66" spans="2:15">
      <c r="B66" s="221" t="s">
        <v>445</v>
      </c>
      <c r="C66" s="158" t="s">
        <v>128</v>
      </c>
      <c r="D66" s="102">
        <f>SUM(D64:D65)</f>
        <v>29.518952854039089</v>
      </c>
      <c r="E66" s="103">
        <f t="shared" ref="E66:K66" si="10">SUM(E64:E65)</f>
        <v>17.745917417117035</v>
      </c>
      <c r="F66" s="103">
        <f t="shared" si="10"/>
        <v>-3.195183306069393</v>
      </c>
      <c r="G66" s="103">
        <f t="shared" si="10"/>
        <v>2.9317609156715569</v>
      </c>
      <c r="H66" s="103">
        <f t="shared" si="10"/>
        <v>9.9568940486657453</v>
      </c>
      <c r="I66" s="103">
        <f t="shared" si="10"/>
        <v>11.215207872930423</v>
      </c>
      <c r="J66" s="103">
        <f t="shared" si="10"/>
        <v>7.9471755494870173</v>
      </c>
      <c r="K66" s="104">
        <f t="shared" si="10"/>
        <v>12.802924135017152</v>
      </c>
      <c r="L66" s="32"/>
      <c r="M66" s="32"/>
    </row>
    <row r="67" spans="2:15">
      <c r="B67" s="221"/>
      <c r="C67" s="158"/>
      <c r="D67" s="158"/>
      <c r="E67" s="158"/>
      <c r="F67" s="158"/>
      <c r="G67" s="158"/>
      <c r="H67" s="158"/>
      <c r="I67" s="158"/>
      <c r="J67" s="158"/>
      <c r="K67" s="158"/>
      <c r="L67" s="158"/>
      <c r="M67" s="158"/>
      <c r="N67" s="158"/>
      <c r="O67" s="158"/>
    </row>
    <row r="68" spans="2:15">
      <c r="B68" s="864" t="s">
        <v>445</v>
      </c>
      <c r="C68" s="162" t="str">
        <f>'RFPR cover'!$C$14</f>
        <v>£m 12/13</v>
      </c>
      <c r="D68" s="151">
        <f t="shared" ref="D68:K68" si="11">D66/D41</f>
        <v>27.839749721747097</v>
      </c>
      <c r="E68" s="152">
        <f t="shared" si="11"/>
        <v>16.385333685670172</v>
      </c>
      <c r="F68" s="152">
        <f t="shared" si="11"/>
        <v>-2.8437931068303897</v>
      </c>
      <c r="G68" s="152">
        <f t="shared" si="11"/>
        <v>2.531974395505733</v>
      </c>
      <c r="H68" s="152">
        <f t="shared" si="11"/>
        <v>8.3791791223300365</v>
      </c>
      <c r="I68" s="152">
        <f t="shared" si="11"/>
        <v>9.1832716381266195</v>
      </c>
      <c r="J68" s="152">
        <f t="shared" si="11"/>
        <v>6.3162641835537716</v>
      </c>
      <c r="K68" s="153">
        <f t="shared" si="11"/>
        <v>9.8719582174038738</v>
      </c>
      <c r="L68" s="713">
        <f>SUM(D68:INDEX(D68:K68,0,MATCH('RFPR cover'!$C$7,$D$6:$K$6,0)))</f>
        <v>43.913264696092618</v>
      </c>
      <c r="M68" s="714">
        <f>SUM(D68:K68)</f>
        <v>77.663937857506923</v>
      </c>
    </row>
    <row r="69" spans="2:15">
      <c r="B69" s="388" t="s">
        <v>521</v>
      </c>
      <c r="C69" s="165" t="str">
        <f>'RFPR cover'!$C$14</f>
        <v>£m 12/13</v>
      </c>
      <c r="D69" s="95">
        <f>D55*((D61-D62)/D62)+D55</f>
        <v>0</v>
      </c>
      <c r="E69" s="95">
        <f t="shared" ref="E69:K69" si="12">E55*((E61-E62)/E62)+E55</f>
        <v>0</v>
      </c>
      <c r="F69" s="95">
        <f t="shared" si="12"/>
        <v>0</v>
      </c>
      <c r="G69" s="95">
        <f t="shared" si="12"/>
        <v>0</v>
      </c>
      <c r="H69" s="95">
        <f t="shared" si="12"/>
        <v>0</v>
      </c>
      <c r="I69" s="95">
        <f t="shared" si="12"/>
        <v>0</v>
      </c>
      <c r="J69" s="95">
        <f t="shared" si="12"/>
        <v>0</v>
      </c>
      <c r="K69" s="95">
        <f t="shared" si="12"/>
        <v>0</v>
      </c>
      <c r="L69" s="709">
        <f>SUM(D69:INDEX(D69:K69,0,MATCH('RFPR cover'!$C$7,$D$6:$K$6,0)))</f>
        <v>0</v>
      </c>
      <c r="M69" s="710">
        <f>SUM(D69:K69)</f>
        <v>0</v>
      </c>
      <c r="N69" s="161"/>
    </row>
    <row r="71" spans="2:15">
      <c r="B71" s="856" t="s">
        <v>319</v>
      </c>
      <c r="C71" s="857"/>
      <c r="D71" s="857"/>
      <c r="E71" s="857"/>
      <c r="F71" s="857"/>
      <c r="G71" s="857"/>
      <c r="H71" s="857"/>
      <c r="I71" s="857"/>
      <c r="J71" s="857"/>
      <c r="K71" s="857"/>
      <c r="L71" s="857"/>
      <c r="M71" s="857"/>
      <c r="N71" s="857"/>
      <c r="O71" s="161"/>
    </row>
    <row r="72" spans="2:15" s="32" customFormat="1">
      <c r="B72" s="858"/>
      <c r="C72" s="65"/>
      <c r="D72" s="65"/>
      <c r="E72" s="65"/>
      <c r="F72" s="65"/>
      <c r="G72" s="65"/>
      <c r="H72" s="65"/>
      <c r="I72" s="65"/>
      <c r="J72" s="65"/>
      <c r="K72" s="65"/>
      <c r="L72" s="65"/>
      <c r="M72" s="65"/>
      <c r="N72" s="65"/>
      <c r="O72" s="65"/>
    </row>
    <row r="73" spans="2:15">
      <c r="B73" s="385" t="s">
        <v>475</v>
      </c>
      <c r="C73" s="384"/>
      <c r="D73" s="384"/>
      <c r="E73" s="384"/>
      <c r="F73" s="384"/>
      <c r="G73" s="384"/>
      <c r="H73" s="384"/>
      <c r="I73" s="384"/>
      <c r="J73" s="384"/>
      <c r="K73" s="384"/>
      <c r="L73" s="384"/>
      <c r="M73" s="384"/>
      <c r="N73" s="384"/>
      <c r="O73" s="161"/>
    </row>
    <row r="74" spans="2:15">
      <c r="B74" s="385" t="s">
        <v>348</v>
      </c>
      <c r="C74" s="384"/>
      <c r="D74" s="384"/>
      <c r="E74" s="384"/>
      <c r="F74" s="384"/>
      <c r="G74" s="384"/>
      <c r="H74" s="384"/>
      <c r="I74" s="384"/>
      <c r="J74" s="384"/>
      <c r="K74" s="384"/>
      <c r="L74" s="384"/>
      <c r="M74" s="384"/>
      <c r="N74" s="384"/>
      <c r="O74" s="161"/>
    </row>
    <row r="75" spans="2:15">
      <c r="B75" s="385" t="s">
        <v>349</v>
      </c>
      <c r="C75" s="384"/>
      <c r="D75" s="384"/>
      <c r="E75" s="384"/>
      <c r="F75" s="384"/>
      <c r="G75" s="384"/>
      <c r="H75" s="384"/>
      <c r="I75" s="384"/>
      <c r="J75" s="384"/>
      <c r="K75" s="384"/>
      <c r="L75" s="384"/>
      <c r="M75" s="384"/>
      <c r="N75" s="384"/>
      <c r="O75" s="161"/>
    </row>
    <row r="76" spans="2:15">
      <c r="B76" s="385" t="s">
        <v>527</v>
      </c>
      <c r="C76" s="384"/>
      <c r="D76" s="384"/>
      <c r="E76" s="384"/>
      <c r="F76" s="384"/>
      <c r="G76" s="384"/>
      <c r="H76" s="384"/>
      <c r="I76" s="384"/>
      <c r="J76" s="384"/>
      <c r="K76" s="384"/>
      <c r="L76" s="384"/>
      <c r="M76" s="384"/>
      <c r="N76" s="384"/>
      <c r="O76" s="161"/>
    </row>
    <row r="77" spans="2:15" s="32" customFormat="1">
      <c r="B77" s="389"/>
      <c r="C77" s="389"/>
      <c r="D77" s="389"/>
      <c r="E77" s="389"/>
      <c r="F77" s="389"/>
      <c r="G77" s="389"/>
      <c r="H77" s="389"/>
      <c r="I77" s="389"/>
      <c r="J77" s="389"/>
      <c r="K77" s="389"/>
      <c r="L77" s="389"/>
      <c r="M77" s="389"/>
      <c r="N77" s="389"/>
      <c r="O77" s="65"/>
    </row>
    <row r="78" spans="2:15">
      <c r="B78" s="388" t="s">
        <v>233</v>
      </c>
      <c r="C78" s="161" t="str">
        <f>'RFPR cover'!$C$14</f>
        <v>£m 12/13</v>
      </c>
      <c r="D78" s="621">
        <v>24.902350022437027</v>
      </c>
      <c r="E78" s="621">
        <v>23.911017468183942</v>
      </c>
      <c r="F78" s="621">
        <v>22.924046860807561</v>
      </c>
      <c r="G78" s="621">
        <v>21.160465195866955</v>
      </c>
      <c r="H78" s="621">
        <v>19.786938604128203</v>
      </c>
      <c r="I78" s="621"/>
      <c r="J78" s="932"/>
      <c r="K78" s="935"/>
      <c r="L78" s="933"/>
      <c r="M78" s="933"/>
      <c r="O78" s="65"/>
    </row>
    <row r="79" spans="2:15">
      <c r="B79" s="388" t="s">
        <v>318</v>
      </c>
      <c r="C79" s="161" t="str">
        <f>'RFPR cover'!$C$14</f>
        <v>£m 12/13</v>
      </c>
      <c r="D79" s="711">
        <f>'R9 - RAV'!D49</f>
        <v>24.818942739965575</v>
      </c>
      <c r="E79" s="712">
        <f>'R9 - RAV'!E49</f>
        <v>23.728208378662991</v>
      </c>
      <c r="F79" s="712">
        <f>'R9 - RAV'!F49</f>
        <v>22.70586946628331</v>
      </c>
      <c r="G79" s="712">
        <f>'R9 - RAV'!G49</f>
        <v>21.061615078981042</v>
      </c>
      <c r="H79" s="712">
        <f>'R9 - RAV'!H49</f>
        <v>19.883167725751111</v>
      </c>
      <c r="I79" s="712">
        <f>'R9 - RAV'!I49</f>
        <v>18.844516767315376</v>
      </c>
      <c r="J79" s="712">
        <f>'R9 - RAV'!J49</f>
        <v>17.83498957269963</v>
      </c>
      <c r="K79" s="934">
        <f>'R9 - RAV'!K49</f>
        <v>16.814937844564788</v>
      </c>
      <c r="L79" s="936">
        <f>SUM(D79:INDEX(D79:K79,0,MATCH('RFPR cover'!$C$7,$D$6:$K$6,0)))</f>
        <v>92.314635663892915</v>
      </c>
      <c r="M79" s="936">
        <f>SUM(D79:K79)</f>
        <v>165.69224757422381</v>
      </c>
      <c r="O79" s="65"/>
    </row>
    <row r="80" spans="2:15" s="32" customFormat="1">
      <c r="B80" s="861"/>
      <c r="C80" s="65"/>
      <c r="D80" s="862"/>
      <c r="E80" s="862"/>
      <c r="F80" s="862"/>
      <c r="G80" s="862"/>
      <c r="H80" s="862"/>
      <c r="I80" s="862"/>
      <c r="J80" s="862"/>
      <c r="K80" s="862"/>
      <c r="L80" s="859"/>
      <c r="M80" s="859"/>
      <c r="O80" s="65"/>
    </row>
    <row r="81" spans="2:15" s="32" customFormat="1">
      <c r="B81" s="861"/>
      <c r="C81" s="65"/>
      <c r="D81" s="862"/>
      <c r="E81" s="863"/>
      <c r="F81" s="863"/>
      <c r="G81" s="863"/>
      <c r="H81" s="863"/>
      <c r="I81" s="863"/>
      <c r="J81" s="863"/>
      <c r="K81" s="863"/>
      <c r="L81" s="859"/>
      <c r="M81" s="859"/>
      <c r="O81" s="65"/>
    </row>
    <row r="82" spans="2:15">
      <c r="B82" s="865" t="s">
        <v>580</v>
      </c>
      <c r="C82" s="857"/>
      <c r="D82" s="857"/>
      <c r="E82" s="857"/>
      <c r="F82" s="857"/>
      <c r="G82" s="857"/>
      <c r="H82" s="857"/>
      <c r="I82" s="857"/>
      <c r="J82" s="857"/>
      <c r="K82" s="857"/>
      <c r="L82" s="857"/>
      <c r="M82" s="857"/>
      <c r="N82" s="857"/>
    </row>
    <row r="83" spans="2:15" ht="15">
      <c r="B83" s="388"/>
      <c r="C83" s="161"/>
      <c r="D83" s="945"/>
      <c r="E83" s="161"/>
      <c r="F83" s="161"/>
      <c r="G83" s="161"/>
      <c r="H83" s="161"/>
      <c r="I83" s="161"/>
      <c r="J83" s="161"/>
      <c r="K83" s="161"/>
      <c r="L83" s="161"/>
      <c r="M83" s="161"/>
      <c r="N83" s="161"/>
    </row>
    <row r="84" spans="2:15" ht="15">
      <c r="B84" s="884" t="s">
        <v>483</v>
      </c>
      <c r="C84" s="161"/>
      <c r="D84" s="945" t="s">
        <v>583</v>
      </c>
      <c r="E84" s="161"/>
      <c r="F84" s="161"/>
      <c r="G84" s="161"/>
      <c r="H84" s="161"/>
      <c r="I84" s="161"/>
      <c r="J84" s="161"/>
      <c r="K84" s="161"/>
      <c r="L84" s="161"/>
      <c r="M84" s="161"/>
      <c r="N84" s="161"/>
    </row>
    <row r="85" spans="2:15">
      <c r="B85" s="221" t="s">
        <v>484</v>
      </c>
      <c r="C85" s="161" t="str">
        <f>'RFPR cover'!$C$14</f>
        <v>£m 12/13</v>
      </c>
      <c r="D85" s="151">
        <f>D79-D43-D55</f>
        <v>-1.9680458482782406</v>
      </c>
      <c r="E85" s="151">
        <f t="shared" ref="E85:K85" si="13">E79-E43-E55</f>
        <v>8.2099746073882223</v>
      </c>
      <c r="F85" s="151">
        <f t="shared" si="13"/>
        <v>25.410498129590906</v>
      </c>
      <c r="G85" s="151">
        <f t="shared" si="13"/>
        <v>18.652130997244718</v>
      </c>
      <c r="H85" s="151">
        <f t="shared" si="13"/>
        <v>11.717456153318615</v>
      </c>
      <c r="I85" s="151">
        <f t="shared" si="13"/>
        <v>9.6564257556320001</v>
      </c>
      <c r="J85" s="151">
        <f t="shared" si="13"/>
        <v>11.525177220753275</v>
      </c>
      <c r="K85" s="151">
        <f t="shared" si="13"/>
        <v>6.9624825952973382</v>
      </c>
      <c r="L85" s="713">
        <f>SUM(D85:INDEX(D85:K85,0,MATCH('RFPR cover'!$C$7,$D$6:$K$6,0)))</f>
        <v>50.304557885945606</v>
      </c>
      <c r="M85" s="714">
        <f>SUM(D85:K85)</f>
        <v>90.166099610946844</v>
      </c>
    </row>
    <row r="86" spans="2:15">
      <c r="B86" s="221"/>
    </row>
    <row r="87" spans="2:15">
      <c r="B87" s="221" t="s">
        <v>485</v>
      </c>
      <c r="C87" s="161" t="str">
        <f>'RFPR cover'!$C$14</f>
        <v>£m 12/13</v>
      </c>
      <c r="D87" s="151">
        <f>D79-D68-D69</f>
        <v>-3.0208069817815222</v>
      </c>
      <c r="E87" s="151">
        <f t="shared" ref="E87:K87" si="14">E79-E68-E69</f>
        <v>7.3428746929928188</v>
      </c>
      <c r="F87" s="151">
        <f t="shared" si="14"/>
        <v>25.5496625731137</v>
      </c>
      <c r="G87" s="151">
        <f t="shared" si="14"/>
        <v>18.529640683475307</v>
      </c>
      <c r="H87" s="151">
        <f t="shared" si="14"/>
        <v>11.503988603421075</v>
      </c>
      <c r="I87" s="151">
        <f t="shared" si="14"/>
        <v>9.6612451291887567</v>
      </c>
      <c r="J87" s="151">
        <f t="shared" si="14"/>
        <v>11.518725389145859</v>
      </c>
      <c r="K87" s="151">
        <f t="shared" si="14"/>
        <v>6.9429796271609145</v>
      </c>
      <c r="L87" s="713">
        <f>SUM(D87:INDEX(D87:K87,0,MATCH('RFPR cover'!$C$7,$D$6:$K$6,0)))</f>
        <v>48.401370967800304</v>
      </c>
      <c r="M87" s="714">
        <f>SUM(D87:K87)</f>
        <v>88.028309716716905</v>
      </c>
    </row>
    <row r="88" spans="2:15">
      <c r="B88" s="221"/>
    </row>
    <row r="89" spans="2:15">
      <c r="B89" s="221" t="s">
        <v>486</v>
      </c>
      <c r="C89" s="161" t="str">
        <f>'RFPR cover'!$C$14</f>
        <v>£m 12/13</v>
      </c>
      <c r="D89" s="151">
        <f t="shared" ref="D89:K89" si="15">D85-D87</f>
        <v>1.0527611335032816</v>
      </c>
      <c r="E89" s="151">
        <f t="shared" si="15"/>
        <v>0.86709991439540346</v>
      </c>
      <c r="F89" s="151">
        <f t="shared" si="15"/>
        <v>-0.13916444352279456</v>
      </c>
      <c r="G89" s="151">
        <f t="shared" si="15"/>
        <v>0.12249031376941133</v>
      </c>
      <c r="H89" s="151">
        <f t="shared" si="15"/>
        <v>0.21346754989754047</v>
      </c>
      <c r="I89" s="151">
        <f t="shared" si="15"/>
        <v>-4.8193735567565454E-3</v>
      </c>
      <c r="J89" s="151">
        <f t="shared" si="15"/>
        <v>6.4518316074160253E-3</v>
      </c>
      <c r="K89" s="151">
        <f t="shared" si="15"/>
        <v>1.9502968136423604E-2</v>
      </c>
      <c r="L89" s="713">
        <f>SUM(D89:INDEX(D89:K89,0,MATCH('RFPR cover'!$C$7,$D$6:$K$6,0)))</f>
        <v>1.9031869181453018</v>
      </c>
      <c r="M89" s="714">
        <f>SUM(D89:K89)</f>
        <v>2.1377898942299254</v>
      </c>
    </row>
    <row r="90" spans="2:15" ht="15">
      <c r="B90" s="208"/>
      <c r="D90" s="945"/>
    </row>
    <row r="91" spans="2:15">
      <c r="B91" s="865" t="s">
        <v>581</v>
      </c>
      <c r="C91" s="857"/>
      <c r="D91" s="857"/>
      <c r="E91" s="857"/>
      <c r="F91" s="857"/>
      <c r="G91" s="857"/>
      <c r="H91" s="857"/>
      <c r="I91" s="857"/>
      <c r="J91" s="857"/>
      <c r="K91" s="857"/>
      <c r="L91" s="857"/>
      <c r="M91" s="857"/>
    </row>
    <row r="92" spans="2:15">
      <c r="B92" s="388"/>
      <c r="C92" s="161"/>
      <c r="D92" s="161"/>
      <c r="E92" s="161"/>
      <c r="F92" s="161"/>
      <c r="G92" s="161"/>
      <c r="H92" s="161"/>
      <c r="I92" s="161"/>
      <c r="J92" s="161"/>
      <c r="K92" s="161"/>
      <c r="L92" s="161"/>
      <c r="M92" s="161"/>
    </row>
    <row r="93" spans="2:15" ht="15">
      <c r="B93" s="884" t="s">
        <v>483</v>
      </c>
      <c r="C93" s="161"/>
      <c r="D93" s="945" t="s">
        <v>582</v>
      </c>
      <c r="E93" s="161"/>
      <c r="F93" s="161"/>
      <c r="G93" s="161"/>
      <c r="H93" s="161"/>
      <c r="I93" s="161"/>
      <c r="J93" s="161"/>
      <c r="K93" s="161"/>
      <c r="L93" s="161"/>
      <c r="M93" s="161"/>
    </row>
    <row r="94" spans="2:15">
      <c r="B94" s="221" t="s">
        <v>484</v>
      </c>
      <c r="C94" s="161" t="s">
        <v>159</v>
      </c>
      <c r="D94" s="151">
        <v>-12.245453462522153</v>
      </c>
      <c r="E94" s="151">
        <v>-12.096986344196559</v>
      </c>
      <c r="F94" s="151">
        <v>-10.448709338705989</v>
      </c>
      <c r="G94" s="151">
        <v>-11.10672603658665</v>
      </c>
      <c r="H94" s="151">
        <v>-14.908630269116312</v>
      </c>
      <c r="I94" s="151">
        <v>-19.504320766054477</v>
      </c>
      <c r="J94" s="151">
        <v>-20.205946432566048</v>
      </c>
      <c r="K94" s="151">
        <v>-25.079806295686332</v>
      </c>
      <c r="L94" s="713">
        <v>-45.897875182011347</v>
      </c>
      <c r="M94" s="714">
        <v>-125.59657894543452</v>
      </c>
    </row>
    <row r="95" spans="2:15">
      <c r="B95" s="221"/>
    </row>
    <row r="96" spans="2:15">
      <c r="B96" s="221" t="s">
        <v>485</v>
      </c>
      <c r="C96" s="161" t="s">
        <v>159</v>
      </c>
      <c r="D96" s="151">
        <v>-13.70212917768151</v>
      </c>
      <c r="E96" s="151">
        <v>-14.098762044656212</v>
      </c>
      <c r="F96" s="151">
        <v>-12.154650924042315</v>
      </c>
      <c r="G96" s="151">
        <v>-12.742059603035393</v>
      </c>
      <c r="H96" s="151">
        <v>-15.818155398508313</v>
      </c>
      <c r="I96" s="151">
        <v>-19.484205883288766</v>
      </c>
      <c r="J96" s="151">
        <v>-20.244843581895498</v>
      </c>
      <c r="K96" s="151">
        <v>-25.162737081909562</v>
      </c>
      <c r="L96" s="713">
        <v>-52.697601749415433</v>
      </c>
      <c r="M96" s="714">
        <v>-133.40754369501758</v>
      </c>
    </row>
    <row r="97" spans="2:13">
      <c r="B97" s="221"/>
    </row>
    <row r="98" spans="2:13">
      <c r="B98" s="221" t="s">
        <v>486</v>
      </c>
      <c r="C98" s="161" t="s">
        <v>159</v>
      </c>
      <c r="D98" s="151">
        <v>1.4566757151593563</v>
      </c>
      <c r="E98" s="151">
        <v>2.0017757004596533</v>
      </c>
      <c r="F98" s="151">
        <v>1.7059415853363262</v>
      </c>
      <c r="G98" s="151">
        <v>1.6353335664487432</v>
      </c>
      <c r="H98" s="151">
        <v>0.90952512939200147</v>
      </c>
      <c r="I98" s="151">
        <v>-2.0114882765710718E-2</v>
      </c>
      <c r="J98" s="151">
        <v>3.8897149329450542E-2</v>
      </c>
      <c r="K98" s="151">
        <v>8.2930786223229802E-2</v>
      </c>
      <c r="L98" s="713">
        <v>6.799726567404079</v>
      </c>
      <c r="M98" s="714">
        <v>7.8109647495830501</v>
      </c>
    </row>
  </sheetData>
  <conditionalFormatting sqref="D6:K6">
    <cfRule type="expression" dxfId="33" priority="32">
      <formula>AND(D$5="Actuals",E$5="Forecast")</formula>
    </cfRule>
  </conditionalFormatting>
  <conditionalFormatting sqref="D5:K5">
    <cfRule type="expression" dxfId="32" priority="25">
      <formula>AND(D$5="Actuals",E$5="Forecast")</formula>
    </cfRule>
  </conditionalFormatting>
  <conditionalFormatting sqref="D29:K29">
    <cfRule type="expression" dxfId="31" priority="17">
      <formula>D$5="Forecast"</formula>
    </cfRule>
    <cfRule type="expression" dxfId="30" priority="18">
      <formula>D$5="Actuals"</formula>
    </cfRule>
  </conditionalFormatting>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2" id="{4F9EFF1D-0920-4D6C-8AB9-85AB6A059E37}">
            <xm:f>D6&gt;=('RFPR cover'!$C$7+2)</xm:f>
            <x14:dxf>
              <fill>
                <patternFill patternType="darkUp">
                  <fgColor rgb="FFC0C0C0"/>
                </patternFill>
              </fill>
            </x14:dxf>
          </x14:cfRule>
          <xm:sqref>D78:K78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B26" sqref="B26"/>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2" customFormat="1" ht="20.25">
      <c r="A1" s="378" t="s">
        <v>237</v>
      </c>
      <c r="B1" s="265"/>
      <c r="C1" s="265"/>
      <c r="D1" s="265"/>
      <c r="E1" s="265"/>
      <c r="F1" s="265"/>
      <c r="G1" s="265"/>
      <c r="H1" s="265"/>
      <c r="I1" s="266"/>
      <c r="J1" s="266"/>
      <c r="K1" s="267"/>
      <c r="L1" s="379"/>
    </row>
    <row r="2" spans="1:12" s="32" customFormat="1" ht="20.25">
      <c r="A2" s="124" t="str">
        <f>'RFPR cover'!C5</f>
        <v>SPD</v>
      </c>
      <c r="B2" s="30"/>
      <c r="C2" s="30"/>
      <c r="D2" s="30"/>
      <c r="E2" s="30"/>
      <c r="F2" s="30"/>
      <c r="G2" s="30"/>
      <c r="H2" s="30"/>
      <c r="I2" s="27"/>
      <c r="J2" s="27"/>
      <c r="K2" s="27"/>
      <c r="L2" s="125"/>
    </row>
    <row r="3" spans="1:12" s="32" customFormat="1" ht="23.25">
      <c r="A3" s="269">
        <f>'RFPR cover'!C7</f>
        <v>2019</v>
      </c>
      <c r="B3" s="937" t="str">
        <f>'R1 - RoRE'!B3</f>
        <v/>
      </c>
      <c r="C3" s="270"/>
      <c r="D3" s="270"/>
      <c r="E3" s="270"/>
      <c r="F3" s="270"/>
      <c r="G3" s="270"/>
      <c r="H3" s="270"/>
      <c r="I3" s="263"/>
      <c r="J3" s="263"/>
      <c r="K3" s="263"/>
      <c r="L3" s="271"/>
    </row>
    <row r="4" spans="1:12" s="32" customFormat="1" ht="12.75" customHeight="1">
      <c r="A4" s="40"/>
      <c r="B4" s="40"/>
      <c r="C4" s="40"/>
      <c r="D4" s="40"/>
      <c r="E4" s="40"/>
      <c r="F4" s="40"/>
      <c r="G4" s="40"/>
      <c r="H4" s="40"/>
      <c r="I4" s="35"/>
      <c r="J4" s="35"/>
      <c r="K4" s="35"/>
      <c r="L4" s="34"/>
    </row>
    <row r="5" spans="1:12" s="2" customFormat="1" ht="12.75" customHeight="1">
      <c r="B5" s="3"/>
      <c r="C5" s="3"/>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row>
    <row r="6" spans="1:12" s="2" customFormat="1" ht="12.75" customHeight="1">
      <c r="D6" s="117">
        <f>'RFPR cover'!$C$13</f>
        <v>2016</v>
      </c>
      <c r="E6" s="118">
        <f>D6+1</f>
        <v>2017</v>
      </c>
      <c r="F6" s="118">
        <f t="shared" ref="F6:K6" si="0">E6+1</f>
        <v>2018</v>
      </c>
      <c r="G6" s="118">
        <f t="shared" si="0"/>
        <v>2019</v>
      </c>
      <c r="H6" s="118">
        <f t="shared" si="0"/>
        <v>2020</v>
      </c>
      <c r="I6" s="118">
        <f t="shared" si="0"/>
        <v>2021</v>
      </c>
      <c r="J6" s="118">
        <f t="shared" si="0"/>
        <v>2022</v>
      </c>
      <c r="K6" s="202">
        <f t="shared" si="0"/>
        <v>2023</v>
      </c>
    </row>
    <row r="7" spans="1:12" s="2" customFormat="1"/>
    <row r="8" spans="1:12" s="2" customFormat="1">
      <c r="B8" s="221" t="s">
        <v>517</v>
      </c>
      <c r="C8" s="158" t="s">
        <v>128</v>
      </c>
      <c r="D8" s="915">
        <v>0</v>
      </c>
      <c r="E8" s="721">
        <f>D10</f>
        <v>0</v>
      </c>
      <c r="F8" s="721">
        <f t="shared" ref="F8:K8" si="1">E10</f>
        <v>0</v>
      </c>
      <c r="G8" s="721">
        <f t="shared" si="1"/>
        <v>0</v>
      </c>
      <c r="H8" s="721">
        <f t="shared" si="1"/>
        <v>0</v>
      </c>
      <c r="I8" s="721">
        <f t="shared" si="1"/>
        <v>0</v>
      </c>
      <c r="J8" s="721">
        <f t="shared" si="1"/>
        <v>0</v>
      </c>
      <c r="K8" s="721">
        <f t="shared" si="1"/>
        <v>0</v>
      </c>
    </row>
    <row r="9" spans="1:12" s="2" customFormat="1">
      <c r="B9" s="221"/>
    </row>
    <row r="10" spans="1:12">
      <c r="B10" s="221" t="s">
        <v>518</v>
      </c>
      <c r="C10" s="158" t="s">
        <v>128</v>
      </c>
      <c r="D10" s="715">
        <v>0</v>
      </c>
      <c r="E10" s="716">
        <v>0</v>
      </c>
      <c r="F10" s="716">
        <v>0</v>
      </c>
      <c r="G10" s="716">
        <v>0</v>
      </c>
      <c r="H10" s="716">
        <v>0</v>
      </c>
      <c r="I10" s="716">
        <v>0</v>
      </c>
      <c r="J10" s="716">
        <v>0</v>
      </c>
      <c r="K10" s="717">
        <v>0</v>
      </c>
    </row>
    <row r="11" spans="1:12">
      <c r="B11" s="221" t="s">
        <v>366</v>
      </c>
      <c r="C11" s="158" t="s">
        <v>128</v>
      </c>
      <c r="D11" s="718">
        <v>347</v>
      </c>
      <c r="E11" s="719">
        <v>347.3</v>
      </c>
      <c r="F11" s="719">
        <v>347.6</v>
      </c>
      <c r="G11" s="719">
        <v>347.9</v>
      </c>
      <c r="H11" s="719">
        <v>348.2</v>
      </c>
      <c r="I11" s="719">
        <v>348.5</v>
      </c>
      <c r="J11" s="719">
        <v>348.8</v>
      </c>
      <c r="K11" s="720">
        <v>349.1</v>
      </c>
    </row>
    <row r="12" spans="1:12">
      <c r="B12" s="221" t="s">
        <v>367</v>
      </c>
      <c r="C12" s="158" t="s">
        <v>128</v>
      </c>
      <c r="D12" s="718">
        <v>690</v>
      </c>
      <c r="E12" s="719">
        <v>699.8</v>
      </c>
      <c r="F12" s="719">
        <v>765</v>
      </c>
      <c r="G12" s="719">
        <v>801.2</v>
      </c>
      <c r="H12" s="719">
        <v>761.2</v>
      </c>
      <c r="I12" s="719">
        <v>636.20000000000005</v>
      </c>
      <c r="J12" s="719">
        <v>596.20000000000005</v>
      </c>
      <c r="K12" s="720">
        <v>471.2</v>
      </c>
    </row>
    <row r="13" spans="1:12">
      <c r="B13" s="221" t="s">
        <v>368</v>
      </c>
      <c r="C13" s="158" t="s">
        <v>128</v>
      </c>
      <c r="D13" s="718">
        <v>-31.3</v>
      </c>
      <c r="E13" s="719">
        <v>0</v>
      </c>
      <c r="F13" s="719">
        <v>-6.3</v>
      </c>
      <c r="G13" s="719">
        <v>0</v>
      </c>
      <c r="H13" s="719">
        <v>0</v>
      </c>
      <c r="I13" s="719">
        <v>0</v>
      </c>
      <c r="J13" s="719">
        <v>0</v>
      </c>
      <c r="K13" s="720">
        <v>0</v>
      </c>
    </row>
    <row r="14" spans="1:12">
      <c r="B14" s="221" t="s">
        <v>369</v>
      </c>
      <c r="C14" s="158" t="s">
        <v>128</v>
      </c>
      <c r="D14" s="718">
        <v>0</v>
      </c>
      <c r="E14" s="719">
        <v>0</v>
      </c>
      <c r="F14" s="719">
        <v>0</v>
      </c>
      <c r="G14" s="719">
        <v>0</v>
      </c>
      <c r="H14" s="719">
        <v>0</v>
      </c>
      <c r="I14" s="719">
        <v>0</v>
      </c>
      <c r="J14" s="719">
        <v>0</v>
      </c>
      <c r="K14" s="720">
        <v>0</v>
      </c>
    </row>
    <row r="15" spans="1:12">
      <c r="B15" s="221" t="s">
        <v>293</v>
      </c>
      <c r="C15" s="158" t="s">
        <v>128</v>
      </c>
      <c r="D15" s="718">
        <v>0</v>
      </c>
      <c r="E15" s="719">
        <v>0</v>
      </c>
      <c r="F15" s="719">
        <v>0</v>
      </c>
      <c r="G15" s="719">
        <v>0</v>
      </c>
      <c r="H15" s="719">
        <v>0</v>
      </c>
      <c r="I15" s="719">
        <v>0</v>
      </c>
      <c r="J15" s="719">
        <v>0</v>
      </c>
      <c r="K15" s="720">
        <v>0</v>
      </c>
    </row>
    <row r="16" spans="1:12">
      <c r="B16" s="221" t="s">
        <v>294</v>
      </c>
      <c r="C16" s="158" t="s">
        <v>128</v>
      </c>
      <c r="D16" s="718">
        <v>0</v>
      </c>
      <c r="E16" s="719">
        <v>0</v>
      </c>
      <c r="F16" s="719">
        <v>0</v>
      </c>
      <c r="G16" s="719">
        <v>0</v>
      </c>
      <c r="H16" s="719">
        <v>0</v>
      </c>
      <c r="I16" s="719">
        <v>0</v>
      </c>
      <c r="J16" s="719">
        <v>0</v>
      </c>
      <c r="K16" s="720">
        <v>0</v>
      </c>
    </row>
    <row r="17" spans="2:13">
      <c r="B17" s="221" t="s">
        <v>298</v>
      </c>
      <c r="C17" s="158" t="s">
        <v>128</v>
      </c>
      <c r="D17" s="718">
        <v>0</v>
      </c>
      <c r="E17" s="719">
        <v>0</v>
      </c>
      <c r="F17" s="719">
        <v>0</v>
      </c>
      <c r="G17" s="719">
        <v>0</v>
      </c>
      <c r="H17" s="719">
        <v>0</v>
      </c>
      <c r="I17" s="719">
        <v>0</v>
      </c>
      <c r="J17" s="719">
        <v>0</v>
      </c>
      <c r="K17" s="720">
        <v>0</v>
      </c>
    </row>
    <row r="18" spans="2:13">
      <c r="B18" s="221" t="s">
        <v>299</v>
      </c>
      <c r="C18" s="158" t="s">
        <v>128</v>
      </c>
      <c r="D18" s="718">
        <v>0</v>
      </c>
      <c r="E18" s="719">
        <v>0</v>
      </c>
      <c r="F18" s="719">
        <v>0</v>
      </c>
      <c r="G18" s="719">
        <v>0</v>
      </c>
      <c r="H18" s="719">
        <v>0</v>
      </c>
      <c r="I18" s="719">
        <v>0</v>
      </c>
      <c r="J18" s="719">
        <v>0</v>
      </c>
      <c r="K18" s="720">
        <v>0</v>
      </c>
    </row>
    <row r="19" spans="2:13">
      <c r="B19" s="221" t="s">
        <v>300</v>
      </c>
      <c r="C19" s="158" t="s">
        <v>128</v>
      </c>
      <c r="D19" s="718">
        <v>0</v>
      </c>
      <c r="E19" s="719">
        <v>0</v>
      </c>
      <c r="F19" s="719">
        <v>0</v>
      </c>
      <c r="G19" s="719">
        <v>0</v>
      </c>
      <c r="H19" s="719">
        <v>0</v>
      </c>
      <c r="I19" s="719">
        <v>0</v>
      </c>
      <c r="J19" s="719">
        <v>0</v>
      </c>
      <c r="K19" s="720">
        <v>0</v>
      </c>
    </row>
    <row r="20" spans="2:13">
      <c r="B20" s="221" t="s">
        <v>301</v>
      </c>
      <c r="C20" s="158" t="s">
        <v>128</v>
      </c>
      <c r="D20" s="718">
        <v>0</v>
      </c>
      <c r="E20" s="719">
        <v>0</v>
      </c>
      <c r="F20" s="719">
        <v>0</v>
      </c>
      <c r="G20" s="719">
        <v>0</v>
      </c>
      <c r="H20" s="719">
        <v>0</v>
      </c>
      <c r="I20" s="719">
        <v>0</v>
      </c>
      <c r="J20" s="719">
        <v>0</v>
      </c>
      <c r="K20" s="720">
        <v>0</v>
      </c>
    </row>
    <row r="21" spans="2:13">
      <c r="B21" s="221" t="s">
        <v>302</v>
      </c>
      <c r="C21" s="158" t="s">
        <v>128</v>
      </c>
      <c r="D21" s="718">
        <v>0</v>
      </c>
      <c r="E21" s="719">
        <v>0</v>
      </c>
      <c r="F21" s="719">
        <v>0</v>
      </c>
      <c r="G21" s="719">
        <v>0</v>
      </c>
      <c r="H21" s="719">
        <v>0</v>
      </c>
      <c r="I21" s="719">
        <v>0</v>
      </c>
      <c r="J21" s="719">
        <v>0</v>
      </c>
      <c r="K21" s="720">
        <v>0</v>
      </c>
    </row>
    <row r="22" spans="2:13">
      <c r="B22" s="221" t="s">
        <v>303</v>
      </c>
      <c r="C22" s="158" t="s">
        <v>128</v>
      </c>
      <c r="D22" s="718">
        <v>0</v>
      </c>
      <c r="E22" s="719">
        <v>0</v>
      </c>
      <c r="F22" s="719">
        <v>0</v>
      </c>
      <c r="G22" s="719">
        <v>0</v>
      </c>
      <c r="H22" s="719">
        <v>0</v>
      </c>
      <c r="I22" s="719">
        <v>0</v>
      </c>
      <c r="J22" s="719">
        <v>0</v>
      </c>
      <c r="K22" s="720">
        <v>0</v>
      </c>
    </row>
    <row r="23" spans="2:13">
      <c r="B23" s="14" t="s">
        <v>320</v>
      </c>
      <c r="C23" s="241" t="s">
        <v>128</v>
      </c>
      <c r="D23" s="721">
        <f>SUM(D10:D22)</f>
        <v>1005.7</v>
      </c>
      <c r="E23" s="721">
        <f t="shared" ref="E23:K23" si="2">SUM(E10:E22)</f>
        <v>1047.0999999999999</v>
      </c>
      <c r="F23" s="721">
        <f t="shared" si="2"/>
        <v>1106.3</v>
      </c>
      <c r="G23" s="721">
        <f t="shared" si="2"/>
        <v>1149.0999999999999</v>
      </c>
      <c r="H23" s="721">
        <f t="shared" si="2"/>
        <v>1109.4000000000001</v>
      </c>
      <c r="I23" s="721">
        <f t="shared" si="2"/>
        <v>984.7</v>
      </c>
      <c r="J23" s="721">
        <f t="shared" si="2"/>
        <v>945</v>
      </c>
      <c r="K23" s="722">
        <f t="shared" si="2"/>
        <v>820.3</v>
      </c>
      <c r="L23" s="2"/>
      <c r="M23" s="338"/>
    </row>
    <row r="24" spans="2:13">
      <c r="B24" s="14"/>
      <c r="C24" s="158"/>
      <c r="D24" s="245"/>
      <c r="E24" s="245"/>
      <c r="F24" s="245"/>
      <c r="G24" s="245"/>
      <c r="H24" s="245"/>
      <c r="I24" s="245"/>
      <c r="J24" s="245"/>
      <c r="K24" s="245"/>
      <c r="L24" s="2"/>
      <c r="M24" s="2"/>
    </row>
    <row r="25" spans="2:13">
      <c r="B25" s="14" t="s">
        <v>123</v>
      </c>
      <c r="C25" s="16"/>
      <c r="D25" s="246"/>
      <c r="E25" s="246"/>
      <c r="F25" s="246"/>
      <c r="G25" s="246"/>
      <c r="H25" s="246"/>
      <c r="I25" s="246"/>
      <c r="J25" s="246"/>
      <c r="K25" s="246"/>
      <c r="L25" s="2"/>
      <c r="M25" s="2"/>
    </row>
    <row r="26" spans="2:13">
      <c r="B26" s="386" t="s">
        <v>529</v>
      </c>
      <c r="C26" s="158" t="s">
        <v>128</v>
      </c>
      <c r="D26" s="362">
        <v>0</v>
      </c>
      <c r="E26" s="396">
        <v>0</v>
      </c>
      <c r="F26" s="396">
        <v>0</v>
      </c>
      <c r="G26" s="396">
        <v>0</v>
      </c>
      <c r="H26" s="396">
        <v>0</v>
      </c>
      <c r="I26" s="396">
        <v>0</v>
      </c>
      <c r="J26" s="396">
        <v>0</v>
      </c>
      <c r="K26" s="400">
        <v>0</v>
      </c>
      <c r="L26" s="2"/>
      <c r="M26" s="2"/>
    </row>
    <row r="27" spans="2:13">
      <c r="B27" s="386" t="s">
        <v>8</v>
      </c>
      <c r="C27" s="158" t="s">
        <v>128</v>
      </c>
      <c r="D27" s="362">
        <v>0</v>
      </c>
      <c r="E27" s="396">
        <v>0</v>
      </c>
      <c r="F27" s="396">
        <v>0</v>
      </c>
      <c r="G27" s="396">
        <v>0</v>
      </c>
      <c r="H27" s="396">
        <v>0</v>
      </c>
      <c r="I27" s="396">
        <v>0</v>
      </c>
      <c r="J27" s="396">
        <v>0</v>
      </c>
      <c r="K27" s="400">
        <v>0</v>
      </c>
      <c r="L27" s="36"/>
      <c r="M27" s="36"/>
    </row>
    <row r="28" spans="2:13">
      <c r="B28" s="386" t="s">
        <v>9</v>
      </c>
      <c r="C28" s="158" t="s">
        <v>128</v>
      </c>
      <c r="D28" s="362">
        <v>0</v>
      </c>
      <c r="E28" s="396">
        <v>0</v>
      </c>
      <c r="F28" s="396">
        <v>0</v>
      </c>
      <c r="G28" s="396">
        <v>0</v>
      </c>
      <c r="H28" s="396">
        <v>0</v>
      </c>
      <c r="I28" s="396">
        <v>0</v>
      </c>
      <c r="J28" s="396">
        <v>0</v>
      </c>
      <c r="K28" s="400">
        <v>0</v>
      </c>
      <c r="L28" s="36"/>
      <c r="M28" s="36"/>
    </row>
    <row r="29" spans="2:13">
      <c r="B29" s="386" t="s">
        <v>10</v>
      </c>
      <c r="C29" s="158" t="s">
        <v>128</v>
      </c>
      <c r="D29" s="362">
        <v>0</v>
      </c>
      <c r="E29" s="396">
        <v>0</v>
      </c>
      <c r="F29" s="396">
        <v>0</v>
      </c>
      <c r="G29" s="396">
        <v>0</v>
      </c>
      <c r="H29" s="396">
        <v>0</v>
      </c>
      <c r="I29" s="396">
        <v>0</v>
      </c>
      <c r="J29" s="396">
        <v>0</v>
      </c>
      <c r="K29" s="400">
        <v>0</v>
      </c>
      <c r="L29" s="36"/>
      <c r="M29" s="36"/>
    </row>
    <row r="30" spans="2:13">
      <c r="B30" s="386" t="s">
        <v>565</v>
      </c>
      <c r="C30" s="158" t="s">
        <v>128</v>
      </c>
      <c r="D30" s="362">
        <v>0</v>
      </c>
      <c r="E30" s="396">
        <v>0</v>
      </c>
      <c r="F30" s="396">
        <v>0</v>
      </c>
      <c r="G30" s="396">
        <v>0</v>
      </c>
      <c r="H30" s="396">
        <v>0</v>
      </c>
      <c r="I30" s="396">
        <v>0</v>
      </c>
      <c r="J30" s="396">
        <v>0</v>
      </c>
      <c r="K30" s="400">
        <v>0</v>
      </c>
    </row>
    <row r="31" spans="2:13">
      <c r="B31" s="386" t="s">
        <v>566</v>
      </c>
      <c r="C31" s="158" t="s">
        <v>128</v>
      </c>
      <c r="D31" s="362">
        <v>0</v>
      </c>
      <c r="E31" s="396">
        <v>0</v>
      </c>
      <c r="F31" s="396">
        <v>0</v>
      </c>
      <c r="G31" s="396">
        <v>0</v>
      </c>
      <c r="H31" s="396">
        <v>0</v>
      </c>
      <c r="I31" s="396">
        <v>0</v>
      </c>
      <c r="J31" s="396">
        <v>0</v>
      </c>
      <c r="K31" s="400">
        <v>0</v>
      </c>
    </row>
    <row r="32" spans="2:13" ht="12.75" customHeight="1">
      <c r="B32" s="386" t="s">
        <v>567</v>
      </c>
      <c r="C32" s="158" t="s">
        <v>128</v>
      </c>
      <c r="D32" s="362">
        <v>0</v>
      </c>
      <c r="E32" s="396">
        <v>0</v>
      </c>
      <c r="F32" s="396">
        <v>0</v>
      </c>
      <c r="G32" s="396">
        <v>0</v>
      </c>
      <c r="H32" s="396">
        <v>0</v>
      </c>
      <c r="I32" s="396">
        <v>0</v>
      </c>
      <c r="J32" s="396">
        <v>0</v>
      </c>
      <c r="K32" s="400">
        <v>0</v>
      </c>
    </row>
    <row r="33" spans="2:12">
      <c r="B33" s="386" t="s">
        <v>568</v>
      </c>
      <c r="C33" s="158" t="s">
        <v>128</v>
      </c>
      <c r="D33" s="362">
        <v>0</v>
      </c>
      <c r="E33" s="396">
        <v>0</v>
      </c>
      <c r="F33" s="396">
        <v>0</v>
      </c>
      <c r="G33" s="396">
        <v>0</v>
      </c>
      <c r="H33" s="396">
        <v>0</v>
      </c>
      <c r="I33" s="396">
        <v>0</v>
      </c>
      <c r="J33" s="396">
        <v>0</v>
      </c>
      <c r="K33" s="400">
        <v>0</v>
      </c>
    </row>
    <row r="34" spans="2:12">
      <c r="B34" s="386" t="s">
        <v>569</v>
      </c>
      <c r="C34" s="158" t="s">
        <v>128</v>
      </c>
      <c r="D34" s="362">
        <v>0</v>
      </c>
      <c r="E34" s="396">
        <v>0</v>
      </c>
      <c r="F34" s="396">
        <v>0</v>
      </c>
      <c r="G34" s="396">
        <v>0</v>
      </c>
      <c r="H34" s="396">
        <v>0</v>
      </c>
      <c r="I34" s="396">
        <v>0</v>
      </c>
      <c r="J34" s="396">
        <v>0</v>
      </c>
      <c r="K34" s="400">
        <v>0</v>
      </c>
    </row>
    <row r="35" spans="2:12">
      <c r="B35" s="386" t="s">
        <v>570</v>
      </c>
      <c r="C35" s="158" t="s">
        <v>128</v>
      </c>
      <c r="D35" s="362">
        <v>0</v>
      </c>
      <c r="E35" s="396">
        <v>0</v>
      </c>
      <c r="F35" s="396">
        <v>0</v>
      </c>
      <c r="G35" s="396">
        <v>0</v>
      </c>
      <c r="H35" s="396">
        <v>0</v>
      </c>
      <c r="I35" s="396">
        <v>0</v>
      </c>
      <c r="J35" s="396">
        <v>0</v>
      </c>
      <c r="K35" s="400">
        <v>0</v>
      </c>
    </row>
    <row r="36" spans="2:12">
      <c r="B36" s="386" t="s">
        <v>571</v>
      </c>
      <c r="C36" s="158" t="s">
        <v>128</v>
      </c>
      <c r="D36" s="362">
        <v>0</v>
      </c>
      <c r="E36" s="396">
        <v>0</v>
      </c>
      <c r="F36" s="396">
        <v>0</v>
      </c>
      <c r="G36" s="396">
        <v>0</v>
      </c>
      <c r="H36" s="396">
        <v>0</v>
      </c>
      <c r="I36" s="396">
        <v>0</v>
      </c>
      <c r="J36" s="396">
        <v>0</v>
      </c>
      <c r="K36" s="400">
        <v>0</v>
      </c>
    </row>
    <row r="37" spans="2:12">
      <c r="B37" s="386" t="s">
        <v>572</v>
      </c>
      <c r="C37" s="158" t="s">
        <v>128</v>
      </c>
      <c r="D37" s="362">
        <v>0</v>
      </c>
      <c r="E37" s="396">
        <v>0</v>
      </c>
      <c r="F37" s="396">
        <v>0</v>
      </c>
      <c r="G37" s="396">
        <v>0</v>
      </c>
      <c r="H37" s="396">
        <v>0</v>
      </c>
      <c r="I37" s="396">
        <v>0</v>
      </c>
      <c r="J37" s="396">
        <v>0</v>
      </c>
      <c r="K37" s="400">
        <v>0</v>
      </c>
    </row>
    <row r="38" spans="2:12">
      <c r="B38" s="386" t="s">
        <v>573</v>
      </c>
      <c r="C38" s="158" t="s">
        <v>128</v>
      </c>
      <c r="D38" s="362">
        <v>0</v>
      </c>
      <c r="E38" s="396">
        <v>0</v>
      </c>
      <c r="F38" s="396">
        <v>0</v>
      </c>
      <c r="G38" s="396">
        <v>0</v>
      </c>
      <c r="H38" s="396">
        <v>0</v>
      </c>
      <c r="I38" s="396">
        <v>0</v>
      </c>
      <c r="J38" s="396">
        <v>0</v>
      </c>
      <c r="K38" s="400">
        <v>0</v>
      </c>
    </row>
    <row r="39" spans="2:12">
      <c r="B39" s="386" t="s">
        <v>574</v>
      </c>
      <c r="C39" s="158" t="s">
        <v>128</v>
      </c>
      <c r="D39" s="362">
        <v>0</v>
      </c>
      <c r="E39" s="396">
        <v>0</v>
      </c>
      <c r="F39" s="396">
        <v>0</v>
      </c>
      <c r="G39" s="396">
        <v>0</v>
      </c>
      <c r="H39" s="396">
        <v>0</v>
      </c>
      <c r="I39" s="396">
        <v>0</v>
      </c>
      <c r="J39" s="396">
        <v>0</v>
      </c>
      <c r="K39" s="400">
        <v>0</v>
      </c>
    </row>
    <row r="40" spans="2:12">
      <c r="B40" s="386" t="s">
        <v>575</v>
      </c>
      <c r="C40" s="158" t="s">
        <v>128</v>
      </c>
      <c r="D40" s="362">
        <v>0</v>
      </c>
      <c r="E40" s="396">
        <v>0</v>
      </c>
      <c r="F40" s="396">
        <v>0</v>
      </c>
      <c r="G40" s="396">
        <v>0</v>
      </c>
      <c r="H40" s="396">
        <v>0</v>
      </c>
      <c r="I40" s="396">
        <v>0</v>
      </c>
      <c r="J40" s="396">
        <v>0</v>
      </c>
      <c r="K40" s="400">
        <v>0</v>
      </c>
    </row>
    <row r="41" spans="2:12">
      <c r="B41" s="386" t="s">
        <v>576</v>
      </c>
      <c r="C41" s="158" t="s">
        <v>128</v>
      </c>
      <c r="D41" s="397">
        <v>0</v>
      </c>
      <c r="E41" s="398">
        <v>0</v>
      </c>
      <c r="F41" s="398">
        <v>0</v>
      </c>
      <c r="G41" s="398">
        <v>0</v>
      </c>
      <c r="H41" s="398">
        <v>0</v>
      </c>
      <c r="I41" s="398">
        <v>0</v>
      </c>
      <c r="J41" s="398">
        <v>0</v>
      </c>
      <c r="K41" s="401">
        <v>0</v>
      </c>
    </row>
    <row r="42" spans="2:12">
      <c r="B42" s="207" t="s">
        <v>234</v>
      </c>
      <c r="C42" s="158" t="s">
        <v>128</v>
      </c>
      <c r="D42" s="729">
        <f>SUM(D23,D26:D41)</f>
        <v>1005.7</v>
      </c>
      <c r="E42" s="730">
        <f t="shared" ref="E42:K42" si="3">SUM(E23,E26:E41)</f>
        <v>1047.0999999999999</v>
      </c>
      <c r="F42" s="730">
        <f t="shared" si="3"/>
        <v>1106.3</v>
      </c>
      <c r="G42" s="730">
        <f t="shared" si="3"/>
        <v>1149.0999999999999</v>
      </c>
      <c r="H42" s="730">
        <f t="shared" si="3"/>
        <v>1109.4000000000001</v>
      </c>
      <c r="I42" s="731">
        <f t="shared" si="3"/>
        <v>984.7</v>
      </c>
      <c r="J42" s="731">
        <f t="shared" si="3"/>
        <v>945</v>
      </c>
      <c r="K42" s="732">
        <f t="shared" si="3"/>
        <v>820.3</v>
      </c>
    </row>
    <row r="43" spans="2:12">
      <c r="B43" s="387" t="s">
        <v>307</v>
      </c>
      <c r="C43" s="158" t="s">
        <v>128</v>
      </c>
      <c r="D43" s="733"/>
      <c r="E43" s="734"/>
      <c r="F43" s="734"/>
      <c r="G43" s="735"/>
      <c r="H43" s="735">
        <v>152.12933156976578</v>
      </c>
      <c r="I43" s="735">
        <v>320.47322297434289</v>
      </c>
      <c r="J43" s="735">
        <v>389.45393613247018</v>
      </c>
      <c r="K43" s="736">
        <v>548.04830710961141</v>
      </c>
    </row>
    <row r="44" spans="2:12">
      <c r="B44" s="361" t="s">
        <v>433</v>
      </c>
      <c r="C44" s="158" t="s">
        <v>128</v>
      </c>
      <c r="D44" s="95">
        <f>SUM(D42:D43)</f>
        <v>1005.7</v>
      </c>
      <c r="E44" s="96">
        <f t="shared" ref="E44:K44" si="4">SUM(E42:E43)</f>
        <v>1047.0999999999999</v>
      </c>
      <c r="F44" s="96">
        <f t="shared" si="4"/>
        <v>1106.3</v>
      </c>
      <c r="G44" s="96">
        <f t="shared" si="4"/>
        <v>1149.0999999999999</v>
      </c>
      <c r="H44" s="96">
        <f t="shared" si="4"/>
        <v>1261.5293315697659</v>
      </c>
      <c r="I44" s="96">
        <f t="shared" si="4"/>
        <v>1305.1732229743429</v>
      </c>
      <c r="J44" s="96">
        <f t="shared" si="4"/>
        <v>1334.4539361324701</v>
      </c>
      <c r="K44" s="97">
        <f t="shared" si="4"/>
        <v>1368.3483071096114</v>
      </c>
    </row>
    <row r="45" spans="2:12">
      <c r="D45" s="232"/>
      <c r="E45" s="233"/>
      <c r="F45" s="233"/>
      <c r="G45" s="233"/>
      <c r="H45" s="233"/>
      <c r="I45" s="233"/>
      <c r="J45" s="233"/>
      <c r="K45" s="234"/>
    </row>
    <row r="47" spans="2:12">
      <c r="B47" s="852" t="s">
        <v>434</v>
      </c>
      <c r="C47" s="158" t="s">
        <v>128</v>
      </c>
      <c r="D47" s="867">
        <v>1016.7</v>
      </c>
      <c r="E47" s="96">
        <f>D48</f>
        <v>1005.7</v>
      </c>
      <c r="F47" s="96">
        <f t="shared" ref="F47:K47" si="5">E48</f>
        <v>1047.0999999999999</v>
      </c>
      <c r="G47" s="96">
        <f t="shared" si="5"/>
        <v>1106.3</v>
      </c>
      <c r="H47" s="96">
        <f t="shared" si="5"/>
        <v>1149.0999999999999</v>
      </c>
      <c r="I47" s="96">
        <f t="shared" si="5"/>
        <v>1261.5293315697659</v>
      </c>
      <c r="J47" s="96">
        <f t="shared" si="5"/>
        <v>1305.1732229743429</v>
      </c>
      <c r="K47" s="97">
        <f t="shared" si="5"/>
        <v>1334.4539361324701</v>
      </c>
      <c r="L47" s="851"/>
    </row>
    <row r="48" spans="2:12">
      <c r="B48" s="852" t="s">
        <v>435</v>
      </c>
      <c r="C48" s="158" t="s">
        <v>128</v>
      </c>
      <c r="D48" s="602">
        <f>D44</f>
        <v>1005.7</v>
      </c>
      <c r="E48" s="603">
        <f>E44</f>
        <v>1047.0999999999999</v>
      </c>
      <c r="F48" s="603">
        <f t="shared" ref="F48:K48" si="6">F44</f>
        <v>1106.3</v>
      </c>
      <c r="G48" s="603">
        <f t="shared" si="6"/>
        <v>1149.0999999999999</v>
      </c>
      <c r="H48" s="603">
        <f t="shared" si="6"/>
        <v>1261.5293315697659</v>
      </c>
      <c r="I48" s="603">
        <f t="shared" si="6"/>
        <v>1305.1732229743429</v>
      </c>
      <c r="J48" s="603">
        <f t="shared" si="6"/>
        <v>1334.4539361324701</v>
      </c>
      <c r="K48" s="866">
        <f t="shared" si="6"/>
        <v>1368.3483071096114</v>
      </c>
      <c r="L48" s="851"/>
    </row>
    <row r="49" spans="2:13">
      <c r="D49" s="23"/>
      <c r="E49" s="23"/>
      <c r="F49" s="23"/>
      <c r="G49" s="23"/>
      <c r="H49" s="23"/>
      <c r="I49" s="23"/>
      <c r="J49" s="23"/>
      <c r="K49" s="23"/>
    </row>
    <row r="50" spans="2:13">
      <c r="B50" s="14" t="s">
        <v>124</v>
      </c>
    </row>
    <row r="51" spans="2:13">
      <c r="B51" t="s">
        <v>125</v>
      </c>
      <c r="C51" s="502" t="s">
        <v>7</v>
      </c>
      <c r="D51" s="496">
        <v>0</v>
      </c>
      <c r="E51" s="497">
        <v>0</v>
      </c>
      <c r="F51" s="497">
        <v>0</v>
      </c>
      <c r="G51" s="497">
        <v>0</v>
      </c>
      <c r="H51" s="497">
        <v>0</v>
      </c>
      <c r="I51" s="497">
        <v>0</v>
      </c>
      <c r="J51" s="497">
        <v>0</v>
      </c>
      <c r="K51" s="498">
        <v>0</v>
      </c>
    </row>
    <row r="52" spans="2:13">
      <c r="B52" t="s">
        <v>126</v>
      </c>
      <c r="C52" s="502" t="s">
        <v>7</v>
      </c>
      <c r="D52" s="508">
        <f>1-D51</f>
        <v>1</v>
      </c>
      <c r="E52" s="509">
        <f t="shared" ref="E52:K52" si="7">1-E51</f>
        <v>1</v>
      </c>
      <c r="F52" s="509">
        <f t="shared" si="7"/>
        <v>1</v>
      </c>
      <c r="G52" s="509">
        <f t="shared" si="7"/>
        <v>1</v>
      </c>
      <c r="H52" s="509">
        <f t="shared" si="7"/>
        <v>1</v>
      </c>
      <c r="I52" s="509">
        <f t="shared" si="7"/>
        <v>1</v>
      </c>
      <c r="J52" s="509">
        <f t="shared" si="7"/>
        <v>1</v>
      </c>
      <c r="K52" s="510">
        <f t="shared" si="7"/>
        <v>1</v>
      </c>
    </row>
    <row r="53" spans="2:13">
      <c r="C53" s="851"/>
      <c r="D53" s="851"/>
      <c r="E53" s="851"/>
      <c r="F53" s="851"/>
      <c r="G53" s="851"/>
      <c r="H53" s="851"/>
      <c r="I53" s="851"/>
      <c r="J53" s="851"/>
      <c r="K53" s="851"/>
      <c r="L53" s="851"/>
    </row>
    <row r="54" spans="2:13">
      <c r="B54" s="208" t="s">
        <v>457</v>
      </c>
      <c r="C54" s="276" t="s">
        <v>128</v>
      </c>
      <c r="D54" s="737">
        <f>AVERAGE(D47:D48)*D52</f>
        <v>1011.2</v>
      </c>
      <c r="E54" s="738">
        <f t="shared" ref="E54:K54" si="8">AVERAGE(E47:E48)*E52</f>
        <v>1026.4000000000001</v>
      </c>
      <c r="F54" s="738">
        <f t="shared" si="8"/>
        <v>1076.6999999999998</v>
      </c>
      <c r="G54" s="738">
        <f t="shared" si="8"/>
        <v>1127.6999999999998</v>
      </c>
      <c r="H54" s="738">
        <f t="shared" si="8"/>
        <v>1205.3146657848829</v>
      </c>
      <c r="I54" s="738">
        <f t="shared" si="8"/>
        <v>1283.3512772720544</v>
      </c>
      <c r="J54" s="738">
        <f t="shared" si="8"/>
        <v>1319.8135795534065</v>
      </c>
      <c r="K54" s="739">
        <f t="shared" si="8"/>
        <v>1351.4011216210406</v>
      </c>
    </row>
    <row r="55" spans="2:13">
      <c r="B55" s="208" t="s">
        <v>272</v>
      </c>
      <c r="C55" s="158" t="s">
        <v>128</v>
      </c>
      <c r="D55" s="723">
        <f>D56-D54</f>
        <v>605.63290182192441</v>
      </c>
      <c r="E55" s="724">
        <f t="shared" ref="E55:K55" si="9">E56-E54</f>
        <v>640.90973906647605</v>
      </c>
      <c r="F55" s="724">
        <f t="shared" si="9"/>
        <v>664.99340461169686</v>
      </c>
      <c r="G55" s="724">
        <f t="shared" si="9"/>
        <v>695.42090884440654</v>
      </c>
      <c r="H55" s="724">
        <f t="shared" si="9"/>
        <v>697.49138133368297</v>
      </c>
      <c r="I55" s="724">
        <f t="shared" si="9"/>
        <v>689.9996901487109</v>
      </c>
      <c r="J55" s="724">
        <f t="shared" si="9"/>
        <v>712.7450344134752</v>
      </c>
      <c r="K55" s="725">
        <f t="shared" si="9"/>
        <v>731.79307016919256</v>
      </c>
    </row>
    <row r="56" spans="2:13">
      <c r="B56" s="208" t="s">
        <v>505</v>
      </c>
      <c r="C56" s="158" t="s">
        <v>128</v>
      </c>
      <c r="D56" s="905">
        <f>IF(D6='RFPR cover'!$C$13,AVERAGE(('R9 - RAV'!D16*'R9 - RAV'!D36),'R9 - RAV'!D38),AVERAGE('R9 - RAV'!C38:D38))</f>
        <v>1616.8329018219245</v>
      </c>
      <c r="E56" s="905">
        <f>IF(E6='RFPR cover'!$C$13,AVERAGE(('R9 - RAV'!E16*'R9 - RAV'!E36),'R9 - RAV'!E38),AVERAGE('R9 - RAV'!D38:E38))</f>
        <v>1667.3097390664761</v>
      </c>
      <c r="F56" s="905">
        <f>IF(F6='RFPR cover'!$C$13,AVERAGE(('R9 - RAV'!F16*'R9 - RAV'!F36),'R9 - RAV'!F38),AVERAGE('R9 - RAV'!E38:F38))</f>
        <v>1741.6934046116967</v>
      </c>
      <c r="G56" s="905">
        <f>IF(G6='RFPR cover'!$C$13,AVERAGE(('R9 - RAV'!G16*'R9 - RAV'!G36),'R9 - RAV'!G38),AVERAGE('R9 - RAV'!F38:G38))</f>
        <v>1823.1209088444064</v>
      </c>
      <c r="H56" s="905">
        <f>IF(H6='RFPR cover'!$C$13,AVERAGE(('R9 - RAV'!H16*'R9 - RAV'!H36),'R9 - RAV'!H38),AVERAGE('R9 - RAV'!G38:H38))</f>
        <v>1902.8060471185659</v>
      </c>
      <c r="I56" s="905">
        <f>IF(I6='RFPR cover'!$C$13,AVERAGE(('R9 - RAV'!I16*'R9 - RAV'!I36),'R9 - RAV'!I38),AVERAGE('R9 - RAV'!H38:I38))</f>
        <v>1973.3509674207653</v>
      </c>
      <c r="J56" s="905">
        <f>IF(J6='RFPR cover'!$C$13,AVERAGE(('R9 - RAV'!J16*'R9 - RAV'!J36),'R9 - RAV'!J38),AVERAGE('R9 - RAV'!I38:J38))</f>
        <v>2032.5586139668817</v>
      </c>
      <c r="K56" s="905">
        <f>IF(K6='RFPR cover'!$C$13,AVERAGE(('R9 - RAV'!K16*'R9 - RAV'!K36),'R9 - RAV'!K38),AVERAGE('R9 - RAV'!J38:K38))</f>
        <v>2083.1941917902332</v>
      </c>
    </row>
    <row r="57" spans="2:13">
      <c r="B57" s="208" t="s">
        <v>235</v>
      </c>
      <c r="C57" s="158" t="s">
        <v>7</v>
      </c>
      <c r="D57" s="237">
        <f>D54/D56</f>
        <v>0.62542022670402841</v>
      </c>
      <c r="E57" s="238">
        <f t="shared" ref="E57:K57" si="10">E54/E56</f>
        <v>0.61560247382389766</v>
      </c>
      <c r="F57" s="238">
        <f t="shared" si="10"/>
        <v>0.61819146650557921</v>
      </c>
      <c r="G57" s="238">
        <f t="shared" si="10"/>
        <v>0.61855469625149417</v>
      </c>
      <c r="H57" s="238">
        <f t="shared" si="10"/>
        <v>0.63344063238084636</v>
      </c>
      <c r="I57" s="238">
        <f t="shared" si="10"/>
        <v>0.65034111947629714</v>
      </c>
      <c r="J57" s="238">
        <f t="shared" si="10"/>
        <v>0.64933604890122565</v>
      </c>
      <c r="K57" s="239">
        <f t="shared" si="10"/>
        <v>0.64871586477479948</v>
      </c>
    </row>
    <row r="58" spans="2:13">
      <c r="B58" s="208" t="s">
        <v>115</v>
      </c>
      <c r="C58" s="158" t="s">
        <v>7</v>
      </c>
      <c r="D58" s="906">
        <f>'RFPR cover'!$C$12</f>
        <v>0.65</v>
      </c>
      <c r="E58" s="907">
        <f>'RFPR cover'!$C$12</f>
        <v>0.65</v>
      </c>
      <c r="F58" s="907">
        <f>'RFPR cover'!$C$12</f>
        <v>0.65</v>
      </c>
      <c r="G58" s="907">
        <f>'RFPR cover'!$C$12</f>
        <v>0.65</v>
      </c>
      <c r="H58" s="907">
        <f>'RFPR cover'!$C$12</f>
        <v>0.65</v>
      </c>
      <c r="I58" s="907">
        <f>'RFPR cover'!$C$12</f>
        <v>0.65</v>
      </c>
      <c r="J58" s="907">
        <f>'RFPR cover'!$C$12</f>
        <v>0.65</v>
      </c>
      <c r="K58" s="908">
        <f>'RFPR cover'!$C$12</f>
        <v>0.65</v>
      </c>
    </row>
    <row r="59" spans="2:13">
      <c r="B59" s="208" t="s">
        <v>236</v>
      </c>
      <c r="C59" s="158" t="s">
        <v>7</v>
      </c>
      <c r="D59" s="242">
        <f t="shared" ref="D59:K59" si="11">IF(ISBLANK(D23),"n/a",D57-D58)</f>
        <v>-2.4579773295971608E-2</v>
      </c>
      <c r="E59" s="243">
        <f t="shared" si="11"/>
        <v>-3.4397526176102367E-2</v>
      </c>
      <c r="F59" s="243">
        <f t="shared" si="11"/>
        <v>-3.180853349442081E-2</v>
      </c>
      <c r="G59" s="243">
        <f t="shared" si="11"/>
        <v>-3.1445303748505848E-2</v>
      </c>
      <c r="H59" s="243">
        <f t="shared" si="11"/>
        <v>-1.6559367619153664E-2</v>
      </c>
      <c r="I59" s="243">
        <f t="shared" si="11"/>
        <v>3.411194762971137E-4</v>
      </c>
      <c r="J59" s="243">
        <f t="shared" si="11"/>
        <v>-6.6395109877437353E-4</v>
      </c>
      <c r="K59" s="244">
        <f t="shared" si="11"/>
        <v>-1.2841352252005445E-3</v>
      </c>
    </row>
    <row r="61" spans="2:13">
      <c r="B61" s="208" t="s">
        <v>512</v>
      </c>
      <c r="C61" s="161" t="str">
        <f>'RFPR cover'!$C$14</f>
        <v>£m 12/13</v>
      </c>
      <c r="D61" s="737">
        <f t="shared" ref="D61:K61" si="12">D63*D57</f>
        <v>936.48680512721387</v>
      </c>
      <c r="E61" s="727">
        <f t="shared" si="12"/>
        <v>928.61689620558639</v>
      </c>
      <c r="F61" s="727">
        <f t="shared" si="12"/>
        <v>943.00132641222251</v>
      </c>
      <c r="G61" s="727">
        <f t="shared" si="12"/>
        <v>958.98129685277934</v>
      </c>
      <c r="H61" s="727">
        <f t="shared" si="12"/>
        <v>998.79511006615519</v>
      </c>
      <c r="I61" s="727">
        <f t="shared" si="12"/>
        <v>1035.956393106148</v>
      </c>
      <c r="J61" s="727">
        <f t="shared" si="12"/>
        <v>1035.858824806023</v>
      </c>
      <c r="K61" s="728">
        <f t="shared" si="12"/>
        <v>1029.5532746551532</v>
      </c>
      <c r="M61" s="337"/>
    </row>
    <row r="62" spans="2:13">
      <c r="B62" s="208" t="s">
        <v>510</v>
      </c>
      <c r="C62" s="161" t="str">
        <f>'RFPR cover'!$C$14</f>
        <v>£m 12/13</v>
      </c>
      <c r="D62" s="689">
        <f>D63*(1-D57)</f>
        <v>560.8853058812673</v>
      </c>
      <c r="E62" s="690">
        <f t="shared" ref="E62:K62" si="13">E63*(1-E57)</f>
        <v>579.85153219002666</v>
      </c>
      <c r="F62" s="690">
        <f t="shared" si="13"/>
        <v>582.41818761420075</v>
      </c>
      <c r="G62" s="690">
        <f t="shared" si="13"/>
        <v>591.37682452970432</v>
      </c>
      <c r="H62" s="690">
        <f t="shared" si="13"/>
        <v>577.98266358579633</v>
      </c>
      <c r="I62" s="690">
        <f t="shared" si="13"/>
        <v>556.98669796024012</v>
      </c>
      <c r="J62" s="690">
        <f t="shared" si="13"/>
        <v>559.39963429054512</v>
      </c>
      <c r="K62" s="691">
        <f t="shared" si="13"/>
        <v>557.51023120277853</v>
      </c>
      <c r="M62" s="337"/>
    </row>
    <row r="63" spans="2:13">
      <c r="B63" s="208" t="s">
        <v>511</v>
      </c>
      <c r="C63" s="161" t="str">
        <f>'RFPR cover'!$C$14</f>
        <v>£m 12/13</v>
      </c>
      <c r="D63" s="904">
        <f>'R9 - RAV'!D47</f>
        <v>1497.3721110084812</v>
      </c>
      <c r="E63" s="904">
        <f>'R9 - RAV'!E47</f>
        <v>1508.468428395613</v>
      </c>
      <c r="F63" s="904">
        <f>'R9 - RAV'!F47</f>
        <v>1525.4195140264233</v>
      </c>
      <c r="G63" s="904">
        <f>'R9 - RAV'!G47</f>
        <v>1550.3581213824837</v>
      </c>
      <c r="H63" s="904">
        <f>'R9 - RAV'!H47</f>
        <v>1576.7777736519515</v>
      </c>
      <c r="I63" s="904">
        <f>'R9 - RAV'!I47</f>
        <v>1592.9430910663882</v>
      </c>
      <c r="J63" s="904">
        <f>'R9 - RAV'!J47</f>
        <v>1595.2584590965682</v>
      </c>
      <c r="K63" s="904">
        <f>'R9 - RAV'!K47</f>
        <v>1587.0635058579319</v>
      </c>
    </row>
    <row r="64" spans="2:13">
      <c r="B64" s="208" t="s">
        <v>235</v>
      </c>
      <c r="C64" s="158" t="s">
        <v>7</v>
      </c>
      <c r="D64" s="237">
        <f>D61/D63</f>
        <v>0.62542022670402841</v>
      </c>
      <c r="E64" s="238">
        <f t="shared" ref="E64:K64" si="14">E61/E63</f>
        <v>0.61560247382389766</v>
      </c>
      <c r="F64" s="238">
        <f t="shared" si="14"/>
        <v>0.61819146650557921</v>
      </c>
      <c r="G64" s="238">
        <f t="shared" si="14"/>
        <v>0.61855469625149417</v>
      </c>
      <c r="H64" s="238">
        <f t="shared" si="14"/>
        <v>0.63344063238084636</v>
      </c>
      <c r="I64" s="238">
        <f t="shared" si="14"/>
        <v>0.65034111947629714</v>
      </c>
      <c r="J64" s="238">
        <f t="shared" si="14"/>
        <v>0.64933604890122554</v>
      </c>
      <c r="K64" s="239">
        <f t="shared" si="14"/>
        <v>0.64871586477479948</v>
      </c>
    </row>
    <row r="65" spans="2:11">
      <c r="B65" s="208" t="s">
        <v>115</v>
      </c>
      <c r="C65" s="158" t="s">
        <v>7</v>
      </c>
      <c r="D65" s="906">
        <f>'RFPR cover'!$C$12</f>
        <v>0.65</v>
      </c>
      <c r="E65" s="907">
        <f>'RFPR cover'!$C$12</f>
        <v>0.65</v>
      </c>
      <c r="F65" s="907">
        <f>'RFPR cover'!$C$12</f>
        <v>0.65</v>
      </c>
      <c r="G65" s="907">
        <f>'RFPR cover'!$C$12</f>
        <v>0.65</v>
      </c>
      <c r="H65" s="907">
        <f>'RFPR cover'!$C$12</f>
        <v>0.65</v>
      </c>
      <c r="I65" s="907">
        <f>'RFPR cover'!$C$12</f>
        <v>0.65</v>
      </c>
      <c r="J65" s="907">
        <f>'RFPR cover'!$C$12</f>
        <v>0.65</v>
      </c>
      <c r="K65" s="908">
        <f>'RFPR cover'!$C$12</f>
        <v>0.65</v>
      </c>
    </row>
    <row r="66" spans="2:11">
      <c r="B66" s="208" t="s">
        <v>236</v>
      </c>
      <c r="C66" s="158" t="s">
        <v>7</v>
      </c>
      <c r="D66" s="242">
        <f t="shared" ref="D66:K66" si="15">IF(ISBLANK(D23),"n/a",D64-D65)</f>
        <v>-2.4579773295971608E-2</v>
      </c>
      <c r="E66" s="243">
        <f t="shared" si="15"/>
        <v>-3.4397526176102367E-2</v>
      </c>
      <c r="F66" s="243">
        <f t="shared" si="15"/>
        <v>-3.180853349442081E-2</v>
      </c>
      <c r="G66" s="243">
        <f t="shared" si="15"/>
        <v>-3.1445303748505848E-2</v>
      </c>
      <c r="H66" s="243">
        <f t="shared" si="15"/>
        <v>-1.6559367619153664E-2</v>
      </c>
      <c r="I66" s="243">
        <f t="shared" si="15"/>
        <v>3.411194762971137E-4</v>
      </c>
      <c r="J66" s="243">
        <f t="shared" si="15"/>
        <v>-6.6395109877448455E-4</v>
      </c>
      <c r="K66" s="244">
        <f t="shared" si="15"/>
        <v>-1.2841352252005445E-3</v>
      </c>
    </row>
  </sheetData>
  <conditionalFormatting sqref="D6:K6">
    <cfRule type="expression" dxfId="28" priority="30">
      <formula>AND(D$5="Actuals",E$5="Forecast")</formula>
    </cfRule>
  </conditionalFormatting>
  <conditionalFormatting sqref="D5:K5">
    <cfRule type="expression" dxfId="27" priority="19">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7" id="{D124567E-9F0B-499E-895A-A9A6A77C130B}">
            <xm:f>'R7 - Financing'!D$5="Forecast"</xm:f>
            <x14:dxf>
              <fill>
                <patternFill>
                  <bgColor theme="7" tint="0.79998168889431442"/>
                </patternFill>
              </fill>
            </x14:dxf>
          </x14:cfRule>
          <x14:cfRule type="expression" priority="18" id="{73940C58-F54E-421D-8685-F6166BF4C1BC}">
            <xm:f>'R7 - Financing'!D$5="Actuals"</xm:f>
            <x14:dxf>
              <fill>
                <patternFill patternType="darkUp">
                  <fgColor rgb="FFC0C0C0"/>
                  <bgColor theme="0"/>
                </patternFill>
              </fill>
            </x14:dxf>
          </x14:cfRule>
          <xm:sqref>D43:G43</xm:sqref>
        </x14:conditionalFormatting>
        <x14:conditionalFormatting xmlns:xm="http://schemas.microsoft.com/office/excel/2006/main">
          <x14:cfRule type="expression" priority="1" id="{6FEAC292-26E0-4222-906C-E5B95866AAC6}">
            <xm:f>'d:\ensites\reg\licfin\Shared Documents\2018.19 RFPR\01_Consol\01_Revsions\[RFPR 2018.19 SPM.xlsx]R7 - Financing'!#REF!="Forecast"</xm:f>
            <x14:dxf>
              <fill>
                <patternFill>
                  <bgColor theme="7" tint="0.79998168889431442"/>
                </patternFill>
              </fill>
            </x14:dxf>
          </x14:cfRule>
          <x14:cfRule type="expression" priority="2" id="{E93DB84B-9588-46DE-B404-4B7E0F226071}">
            <xm:f>'d:\ensites\reg\licfin\Shared Documents\2018.19 RFPR\01_Consol\01_Revsions\[RFPR 2018.19 SPM.xlsx]R7 - Financing'!#REF!="Actuals"</xm:f>
            <x14:dxf>
              <fill>
                <patternFill patternType="darkUp">
                  <fgColor rgb="FFC0C0C0"/>
                  <bgColor theme="0"/>
                </patternFill>
              </fill>
            </x14:dxf>
          </x14:cfRule>
          <xm:sqref>H43:K43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L63"/>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100.125" customWidth="1"/>
    <col min="3" max="3" width="14.125" style="206" customWidth="1"/>
    <col min="4" max="11" width="11.125" customWidth="1"/>
    <col min="12" max="12" width="5" customWidth="1"/>
  </cols>
  <sheetData>
    <row r="1" spans="1:12" s="32" customFormat="1" ht="20.25">
      <c r="A1" s="378" t="s">
        <v>120</v>
      </c>
      <c r="B1" s="121"/>
      <c r="C1" s="417"/>
      <c r="D1" s="121"/>
      <c r="E1" s="121"/>
      <c r="F1" s="121"/>
      <c r="G1" s="121"/>
      <c r="H1" s="121"/>
      <c r="I1" s="129"/>
      <c r="J1" s="129"/>
      <c r="K1" s="130"/>
      <c r="L1" s="379"/>
    </row>
    <row r="2" spans="1:12" s="32" customFormat="1" ht="20.25">
      <c r="A2" s="124" t="str">
        <f>'RFPR cover'!C5</f>
        <v>SPD</v>
      </c>
      <c r="B2" s="30"/>
      <c r="C2" s="227"/>
      <c r="D2" s="30"/>
      <c r="E2" s="30"/>
      <c r="F2" s="30"/>
      <c r="G2" s="30"/>
      <c r="H2" s="30"/>
      <c r="I2" s="27"/>
      <c r="J2" s="27"/>
      <c r="K2" s="27"/>
      <c r="L2" s="125"/>
    </row>
    <row r="3" spans="1:12" s="32" customFormat="1" ht="20.25">
      <c r="A3" s="269">
        <f>'RFPR cover'!C7</f>
        <v>2019</v>
      </c>
      <c r="B3" s="270"/>
      <c r="C3" s="418"/>
      <c r="D3" s="270"/>
      <c r="E3" s="270"/>
      <c r="F3" s="270"/>
      <c r="G3" s="270"/>
      <c r="H3" s="270"/>
      <c r="I3" s="263"/>
      <c r="J3" s="263"/>
      <c r="K3" s="263"/>
      <c r="L3" s="271"/>
    </row>
    <row r="4" spans="1:12" s="2" customFormat="1" ht="12.75" customHeight="1">
      <c r="C4" s="1"/>
    </row>
    <row r="5" spans="1:12" s="2" customFormat="1" ht="12.75" customHeight="1">
      <c r="B5" s="39"/>
      <c r="C5" s="228"/>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row>
    <row r="6" spans="1:12" s="2" customFormat="1" ht="12.75" customHeight="1">
      <c r="C6" s="1"/>
      <c r="D6" s="117">
        <f>'RFPR cover'!$C$13</f>
        <v>2016</v>
      </c>
      <c r="E6" s="118">
        <f>D6+1</f>
        <v>2017</v>
      </c>
      <c r="F6" s="118">
        <f t="shared" ref="F6:K6" si="0">E6+1</f>
        <v>2018</v>
      </c>
      <c r="G6" s="118">
        <f t="shared" si="0"/>
        <v>2019</v>
      </c>
      <c r="H6" s="118">
        <f t="shared" si="0"/>
        <v>2020</v>
      </c>
      <c r="I6" s="118">
        <f t="shared" si="0"/>
        <v>2021</v>
      </c>
      <c r="J6" s="118">
        <f t="shared" si="0"/>
        <v>2022</v>
      </c>
      <c r="K6" s="202">
        <f t="shared" si="0"/>
        <v>2023</v>
      </c>
    </row>
    <row r="7" spans="1:12" s="2" customFormat="1">
      <c r="A7" s="36"/>
      <c r="B7" s="36"/>
      <c r="C7" s="335"/>
      <c r="D7" s="451"/>
      <c r="E7" s="451"/>
      <c r="F7" s="451"/>
      <c r="G7" s="451"/>
      <c r="H7" s="451"/>
      <c r="I7" s="451"/>
      <c r="J7" s="451"/>
      <c r="K7" s="451"/>
      <c r="L7" s="36"/>
    </row>
    <row r="8" spans="1:12" s="2" customFormat="1">
      <c r="B8" s="12" t="s">
        <v>324</v>
      </c>
    </row>
    <row r="9" spans="1:12" s="2" customFormat="1">
      <c r="B9" s="385" t="s">
        <v>323</v>
      </c>
      <c r="C9" s="385"/>
      <c r="D9" s="385"/>
      <c r="E9" s="385"/>
      <c r="F9" s="385"/>
      <c r="G9" s="385"/>
      <c r="H9" s="385"/>
      <c r="I9" s="385"/>
      <c r="J9" s="385"/>
      <c r="K9" s="385"/>
      <c r="L9" s="385"/>
    </row>
    <row r="10" spans="1:12" s="36" customFormat="1">
      <c r="B10" s="450"/>
      <c r="C10" s="450"/>
      <c r="D10" s="450"/>
      <c r="E10" s="450"/>
      <c r="F10" s="450"/>
      <c r="G10" s="450"/>
      <c r="H10" s="450"/>
      <c r="I10" s="450"/>
      <c r="J10" s="450"/>
      <c r="K10" s="450"/>
      <c r="L10" s="450"/>
    </row>
    <row r="11" spans="1:12" s="2" customFormat="1">
      <c r="B11" s="208" t="s">
        <v>322</v>
      </c>
      <c r="C11" s="218" t="str">
        <f>'RFPR cover'!$C$14</f>
        <v>£m 12/13</v>
      </c>
      <c r="D11" s="740">
        <v>1538.1031499731153</v>
      </c>
      <c r="E11" s="741">
        <v>1557.2483658026681</v>
      </c>
      <c r="F11" s="741">
        <v>1577.55520251024</v>
      </c>
      <c r="G11" s="741">
        <v>1590.895707368325</v>
      </c>
      <c r="H11" s="741">
        <v>1599.4055187734723</v>
      </c>
      <c r="I11" s="741">
        <v>1599.5216053391264</v>
      </c>
      <c r="J11" s="741">
        <v>1592.7553139301806</v>
      </c>
      <c r="K11" s="742">
        <v>1584.3919605975971</v>
      </c>
    </row>
    <row r="12" spans="1:12" s="2" customFormat="1"/>
    <row r="13" spans="1:12" s="2" customFormat="1">
      <c r="B13" s="12" t="s">
        <v>325</v>
      </c>
      <c r="C13" s="1"/>
      <c r="D13" s="1"/>
      <c r="E13" s="1"/>
      <c r="F13" s="1"/>
      <c r="G13" s="1"/>
      <c r="H13" s="1"/>
      <c r="I13" s="1"/>
      <c r="J13" s="1"/>
      <c r="K13" s="1"/>
    </row>
    <row r="14" spans="1:12" s="2" customFormat="1">
      <c r="B14" s="385" t="s">
        <v>347</v>
      </c>
      <c r="C14" s="336"/>
      <c r="D14" s="336"/>
      <c r="E14" s="336"/>
      <c r="F14" s="336"/>
      <c r="G14" s="336"/>
      <c r="H14" s="336"/>
      <c r="I14" s="336"/>
      <c r="J14" s="336"/>
      <c r="K14" s="336"/>
      <c r="L14" s="304"/>
    </row>
    <row r="15" spans="1:12" s="36" customFormat="1">
      <c r="B15" s="450"/>
      <c r="C15" s="335"/>
      <c r="D15" s="335"/>
      <c r="E15" s="335"/>
      <c r="F15" s="335"/>
      <c r="G15" s="335"/>
      <c r="H15" s="335"/>
      <c r="I15" s="335"/>
      <c r="J15" s="335"/>
      <c r="K15" s="335"/>
    </row>
    <row r="16" spans="1:12" s="2" customFormat="1">
      <c r="B16" s="412" t="s">
        <v>326</v>
      </c>
      <c r="C16" s="218" t="str">
        <f>'RFPR cover'!$C$14</f>
        <v>£m 12/13</v>
      </c>
      <c r="D16" s="606">
        <v>1522.4065505308213</v>
      </c>
      <c r="E16" s="743">
        <f>D29</f>
        <v>1527.6607594922325</v>
      </c>
      <c r="F16" s="743">
        <f t="shared" ref="F16:K16" si="1">E29</f>
        <v>1543.9772083527853</v>
      </c>
      <c r="G16" s="743">
        <f t="shared" si="1"/>
        <v>1560.9355560999979</v>
      </c>
      <c r="H16" s="743">
        <f t="shared" si="1"/>
        <v>1593.0340017132773</v>
      </c>
      <c r="I16" s="743">
        <f t="shared" si="1"/>
        <v>1612.9706747379266</v>
      </c>
      <c r="J16" s="743">
        <f t="shared" si="1"/>
        <v>1624.5543235026228</v>
      </c>
      <c r="K16" s="609">
        <f t="shared" si="1"/>
        <v>1616.3552709876544</v>
      </c>
    </row>
    <row r="17" spans="2:12" s="2" customFormat="1">
      <c r="B17" s="412" t="s">
        <v>327</v>
      </c>
      <c r="C17" s="218" t="str">
        <f>'RFPR cover'!$C$14</f>
        <v>£m 12/13</v>
      </c>
      <c r="D17" s="614"/>
      <c r="E17" s="615"/>
      <c r="F17" s="615"/>
      <c r="G17" s="615"/>
      <c r="H17" s="615"/>
      <c r="I17" s="615"/>
      <c r="J17" s="615"/>
      <c r="K17" s="707"/>
    </row>
    <row r="18" spans="2:12" s="2" customFormat="1">
      <c r="B18" s="12" t="s">
        <v>328</v>
      </c>
      <c r="C18" s="218" t="str">
        <f>'RFPR cover'!$C$14</f>
        <v>£m 12/13</v>
      </c>
      <c r="D18" s="744">
        <f>SUM(D16:D17)</f>
        <v>1522.4065505308213</v>
      </c>
      <c r="E18" s="745">
        <f t="shared" ref="E18:K18" si="2">SUM(E16:E17)</f>
        <v>1527.6607594922325</v>
      </c>
      <c r="F18" s="745">
        <f t="shared" si="2"/>
        <v>1543.9772083527853</v>
      </c>
      <c r="G18" s="745">
        <f t="shared" si="2"/>
        <v>1560.9355560999979</v>
      </c>
      <c r="H18" s="745">
        <f t="shared" si="2"/>
        <v>1593.0340017132773</v>
      </c>
      <c r="I18" s="745">
        <f t="shared" si="2"/>
        <v>1612.9706747379266</v>
      </c>
      <c r="J18" s="745">
        <f t="shared" si="2"/>
        <v>1624.5543235026228</v>
      </c>
      <c r="K18" s="746">
        <f t="shared" si="2"/>
        <v>1616.3552709876544</v>
      </c>
    </row>
    <row r="19" spans="2:12" s="2" customFormat="1">
      <c r="B19" s="414" t="s">
        <v>329</v>
      </c>
      <c r="C19" s="218" t="str">
        <f>'RFPR cover'!$C$14</f>
        <v>£m 12/13</v>
      </c>
      <c r="D19" s="610">
        <v>154.98828428371905</v>
      </c>
      <c r="E19" s="611">
        <v>160.27143604571083</v>
      </c>
      <c r="F19" s="611">
        <v>163.61468448169006</v>
      </c>
      <c r="G19" s="611">
        <v>166.77097845170346</v>
      </c>
      <c r="H19" s="611">
        <v>159.70618166168271</v>
      </c>
      <c r="I19" s="611">
        <v>151.50283999327198</v>
      </c>
      <c r="J19" s="611">
        <v>137.97553455642503</v>
      </c>
      <c r="K19" s="706">
        <v>133.95697087022131</v>
      </c>
    </row>
    <row r="20" spans="2:12" s="2" customFormat="1">
      <c r="B20" s="414" t="s">
        <v>336</v>
      </c>
      <c r="C20" s="218" t="str">
        <f>'RFPR cover'!$C$14</f>
        <v>£m 12/13</v>
      </c>
      <c r="D20" s="614">
        <v>-10.441497672818343</v>
      </c>
      <c r="E20" s="615">
        <v>-3.2803298006058412</v>
      </c>
      <c r="F20" s="615">
        <v>-3.7757653641372713</v>
      </c>
      <c r="G20" s="615">
        <v>9.4740834884209448</v>
      </c>
      <c r="H20" s="615">
        <v>5.1757237315637212</v>
      </c>
      <c r="I20" s="615">
        <v>5.3667931282163863</v>
      </c>
      <c r="J20" s="615">
        <v>-1.3748990639239764</v>
      </c>
      <c r="K20" s="707">
        <v>-1.1570324599445314</v>
      </c>
    </row>
    <row r="21" spans="2:12" s="2" customFormat="1">
      <c r="B21" s="413" t="s">
        <v>332</v>
      </c>
      <c r="C21" s="218" t="str">
        <f>'RFPR cover'!$C$14</f>
        <v>£m 12/13</v>
      </c>
      <c r="D21" s="744">
        <f t="shared" ref="D21:K21" si="3">SUM(D19:D20)</f>
        <v>144.54678661090071</v>
      </c>
      <c r="E21" s="745">
        <f t="shared" si="3"/>
        <v>156.99110624510499</v>
      </c>
      <c r="F21" s="745">
        <f t="shared" si="3"/>
        <v>159.83891911755279</v>
      </c>
      <c r="G21" s="745">
        <f t="shared" si="3"/>
        <v>176.2450619401244</v>
      </c>
      <c r="H21" s="745">
        <f t="shared" si="3"/>
        <v>164.88190539324643</v>
      </c>
      <c r="I21" s="745">
        <f t="shared" si="3"/>
        <v>156.86963312148836</v>
      </c>
      <c r="J21" s="745">
        <f t="shared" si="3"/>
        <v>136.60063549250106</v>
      </c>
      <c r="K21" s="746">
        <f t="shared" si="3"/>
        <v>132.79993841027678</v>
      </c>
    </row>
    <row r="22" spans="2:12" s="2" customFormat="1">
      <c r="B22" s="414" t="s">
        <v>330</v>
      </c>
      <c r="C22" s="218" t="str">
        <f>'RFPR cover'!$C$14</f>
        <v>£m 12/13</v>
      </c>
      <c r="D22" s="610">
        <v>-139.29257764948954</v>
      </c>
      <c r="E22" s="611">
        <v>-141.12618160824164</v>
      </c>
      <c r="F22" s="611">
        <v>-143.45706053881457</v>
      </c>
      <c r="G22" s="611">
        <v>-144.85164218856644</v>
      </c>
      <c r="H22" s="611">
        <v>-145.35874796913652</v>
      </c>
      <c r="I22" s="611">
        <v>-145.5542164841649</v>
      </c>
      <c r="J22" s="611">
        <v>-144.92942224766225</v>
      </c>
      <c r="K22" s="706">
        <v>-142.32823817208882</v>
      </c>
    </row>
    <row r="23" spans="2:12" s="2" customFormat="1">
      <c r="B23" s="414" t="s">
        <v>331</v>
      </c>
      <c r="C23" s="218" t="str">
        <f>'RFPR cover'!$C$14</f>
        <v>£m 12/13</v>
      </c>
      <c r="D23" s="614">
        <v>0</v>
      </c>
      <c r="E23" s="615">
        <v>0.45152422368944189</v>
      </c>
      <c r="F23" s="615">
        <v>0.57648916847442633</v>
      </c>
      <c r="G23" s="615">
        <v>0.7050258617216526</v>
      </c>
      <c r="H23" s="615">
        <v>0.41351560053946967</v>
      </c>
      <c r="I23" s="615">
        <v>0.26823212737276869</v>
      </c>
      <c r="J23" s="615">
        <v>0.12973424019299098</v>
      </c>
      <c r="K23" s="707">
        <v>0.16256765067475759</v>
      </c>
    </row>
    <row r="24" spans="2:12" s="2" customFormat="1">
      <c r="B24" s="413" t="s">
        <v>333</v>
      </c>
      <c r="C24" s="218" t="str">
        <f>'RFPR cover'!$C$14</f>
        <v>£m 12/13</v>
      </c>
      <c r="D24" s="744">
        <f t="shared" ref="D24:K24" si="4">SUM(D22:D23)</f>
        <v>-139.29257764948954</v>
      </c>
      <c r="E24" s="745">
        <f t="shared" si="4"/>
        <v>-140.67465738455221</v>
      </c>
      <c r="F24" s="745">
        <f t="shared" si="4"/>
        <v>-142.88057137034014</v>
      </c>
      <c r="G24" s="745">
        <f t="shared" si="4"/>
        <v>-144.14661632684479</v>
      </c>
      <c r="H24" s="745">
        <f t="shared" si="4"/>
        <v>-144.94523236859703</v>
      </c>
      <c r="I24" s="745">
        <f t="shared" si="4"/>
        <v>-145.28598435679214</v>
      </c>
      <c r="J24" s="745">
        <f t="shared" si="4"/>
        <v>-144.79968800746926</v>
      </c>
      <c r="K24" s="746">
        <f t="shared" si="4"/>
        <v>-142.16567052141406</v>
      </c>
    </row>
    <row r="25" spans="2:12" s="2" customFormat="1">
      <c r="B25" s="415" t="s">
        <v>268</v>
      </c>
      <c r="C25" s="218" t="str">
        <f>'RFPR cover'!$C$14</f>
        <v>£m 12/13</v>
      </c>
      <c r="D25" s="747"/>
      <c r="E25" s="748"/>
      <c r="F25" s="748"/>
      <c r="G25" s="748"/>
      <c r="H25" s="748"/>
      <c r="I25" s="748"/>
      <c r="J25" s="748"/>
      <c r="K25" s="749"/>
    </row>
    <row r="26" spans="2:12" s="2" customFormat="1">
      <c r="B26" s="415" t="s">
        <v>268</v>
      </c>
      <c r="C26" s="218" t="str">
        <f>'RFPR cover'!$C$14</f>
        <v>£m 12/13</v>
      </c>
      <c r="D26" s="747"/>
      <c r="E26" s="748"/>
      <c r="F26" s="748"/>
      <c r="G26" s="748"/>
      <c r="H26" s="748"/>
      <c r="I26" s="748"/>
      <c r="J26" s="748"/>
      <c r="K26" s="749"/>
    </row>
    <row r="27" spans="2:12" s="2" customFormat="1">
      <c r="B27" s="415" t="s">
        <v>268</v>
      </c>
      <c r="C27" s="218" t="str">
        <f>'RFPR cover'!$C$14</f>
        <v>£m 12/13</v>
      </c>
      <c r="D27" s="747"/>
      <c r="E27" s="748"/>
      <c r="F27" s="748"/>
      <c r="G27" s="748"/>
      <c r="H27" s="748"/>
      <c r="I27" s="748"/>
      <c r="J27" s="748"/>
      <c r="K27" s="749"/>
    </row>
    <row r="28" spans="2:12" s="2" customFormat="1">
      <c r="B28" s="413" t="s">
        <v>334</v>
      </c>
      <c r="C28" s="218" t="str">
        <f>'RFPR cover'!$C$14</f>
        <v>£m 12/13</v>
      </c>
      <c r="D28" s="750">
        <f>SUM(D25:D27)</f>
        <v>0</v>
      </c>
      <c r="E28" s="751">
        <f t="shared" ref="E28:K28" si="5">SUM(E25:E27)</f>
        <v>0</v>
      </c>
      <c r="F28" s="751">
        <f t="shared" si="5"/>
        <v>0</v>
      </c>
      <c r="G28" s="751">
        <f t="shared" si="5"/>
        <v>0</v>
      </c>
      <c r="H28" s="751">
        <f t="shared" si="5"/>
        <v>0</v>
      </c>
      <c r="I28" s="751">
        <f t="shared" si="5"/>
        <v>0</v>
      </c>
      <c r="J28" s="751">
        <f t="shared" si="5"/>
        <v>0</v>
      </c>
      <c r="K28" s="752">
        <f t="shared" si="5"/>
        <v>0</v>
      </c>
    </row>
    <row r="29" spans="2:12" s="2" customFormat="1">
      <c r="B29" s="12" t="s">
        <v>335</v>
      </c>
      <c r="C29" s="218" t="str">
        <f>'RFPR cover'!$C$14</f>
        <v>£m 12/13</v>
      </c>
      <c r="D29" s="753">
        <f>D18+D21+D24+D28</f>
        <v>1527.6607594922325</v>
      </c>
      <c r="E29" s="754">
        <f t="shared" ref="E29:K29" si="6">E18+E21+E24+E28</f>
        <v>1543.9772083527853</v>
      </c>
      <c r="F29" s="754">
        <f t="shared" si="6"/>
        <v>1560.9355560999979</v>
      </c>
      <c r="G29" s="754">
        <f t="shared" si="6"/>
        <v>1593.0340017132773</v>
      </c>
      <c r="H29" s="754">
        <f t="shared" si="6"/>
        <v>1612.9706747379266</v>
      </c>
      <c r="I29" s="754">
        <f t="shared" si="6"/>
        <v>1624.5543235026228</v>
      </c>
      <c r="J29" s="754">
        <f t="shared" si="6"/>
        <v>1616.3552709876544</v>
      </c>
      <c r="K29" s="755">
        <f t="shared" si="6"/>
        <v>1606.9895388765171</v>
      </c>
    </row>
    <row r="30" spans="2:12" s="2" customFormat="1">
      <c r="B30" s="12"/>
      <c r="C30" s="218"/>
      <c r="D30" s="218"/>
      <c r="E30" s="218"/>
      <c r="F30" s="218"/>
      <c r="G30" s="218"/>
      <c r="H30" s="218"/>
      <c r="I30" s="218"/>
      <c r="J30" s="218"/>
      <c r="K30" s="218"/>
      <c r="L30" s="218"/>
    </row>
    <row r="31" spans="2:12" s="2" customFormat="1">
      <c r="B31" s="12" t="s">
        <v>508</v>
      </c>
      <c r="C31" s="218" t="str">
        <f>'RFPR cover'!$C$14</f>
        <v>£m 12/13</v>
      </c>
      <c r="D31" s="753">
        <f t="shared" ref="D31:K31" si="7">(D20+D23+D28)</f>
        <v>-10.441497672818343</v>
      </c>
      <c r="E31" s="753">
        <f t="shared" si="7"/>
        <v>-2.8288055769163991</v>
      </c>
      <c r="F31" s="753">
        <f t="shared" si="7"/>
        <v>-3.1992761956628448</v>
      </c>
      <c r="G31" s="753">
        <f t="shared" si="7"/>
        <v>10.179109350142598</v>
      </c>
      <c r="H31" s="753">
        <f t="shared" si="7"/>
        <v>5.5892393321031912</v>
      </c>
      <c r="I31" s="753">
        <f t="shared" si="7"/>
        <v>5.6350252555891549</v>
      </c>
      <c r="J31" s="753">
        <f t="shared" si="7"/>
        <v>-1.2451648237309854</v>
      </c>
      <c r="K31" s="753">
        <f t="shared" si="7"/>
        <v>-0.99446480926977388</v>
      </c>
      <c r="L31" s="218"/>
    </row>
    <row r="32" spans="2:12" s="2" customFormat="1">
      <c r="B32" s="12" t="s">
        <v>509</v>
      </c>
      <c r="C32" s="218"/>
      <c r="D32" s="537"/>
      <c r="E32" s="537"/>
      <c r="F32" s="537"/>
      <c r="G32" s="537"/>
      <c r="H32" s="537"/>
      <c r="I32" s="537"/>
      <c r="J32" s="537"/>
      <c r="K32" s="537"/>
      <c r="L32" s="218"/>
    </row>
    <row r="33" spans="2:12" s="36" customFormat="1">
      <c r="B33" s="52"/>
      <c r="C33" s="499"/>
      <c r="D33" s="500"/>
      <c r="E33" s="500"/>
      <c r="F33" s="500"/>
      <c r="G33" s="500"/>
      <c r="H33" s="500"/>
      <c r="I33" s="500"/>
      <c r="J33" s="500"/>
      <c r="K33" s="500"/>
    </row>
    <row r="34" spans="2:12" s="36" customFormat="1">
      <c r="B34" s="52" t="s">
        <v>42</v>
      </c>
      <c r="C34" s="277" t="s">
        <v>127</v>
      </c>
      <c r="D34" s="112">
        <f>Data!C$35</f>
        <v>1.0677429242873198</v>
      </c>
      <c r="E34" s="112">
        <f>Data!D$35</f>
        <v>1.1033002963114336</v>
      </c>
      <c r="F34" s="112">
        <f>Data!E$35</f>
        <v>1.1402881373250229</v>
      </c>
      <c r="G34" s="112">
        <f>Data!F$35</f>
        <v>1.171554102380709</v>
      </c>
      <c r="H34" s="112">
        <f>Data!G$35</f>
        <v>1.2023073975682026</v>
      </c>
      <c r="I34" s="112">
        <f>Data!H$35</f>
        <v>1.2356714278507201</v>
      </c>
      <c r="J34" s="112">
        <f>Data!I$35</f>
        <v>1.2730504885432044</v>
      </c>
      <c r="K34" s="112">
        <f>Data!J$35</f>
        <v>1.312196791065908</v>
      </c>
    </row>
    <row r="35" spans="2:12" s="32" customFormat="1">
      <c r="B35" s="38" t="s">
        <v>372</v>
      </c>
      <c r="C35" s="277" t="s">
        <v>127</v>
      </c>
      <c r="D35" s="112">
        <f>Data!C$34</f>
        <v>1.0603167467048125</v>
      </c>
      <c r="E35" s="113">
        <f>Data!D$34</f>
        <v>1.0830366813119445</v>
      </c>
      <c r="F35" s="113">
        <f>Data!E$34</f>
        <v>1.1235639113109226</v>
      </c>
      <c r="G35" s="113">
        <f>Data!F$34</f>
        <v>1.1578951670583426</v>
      </c>
      <c r="H35" s="113">
        <f>Data!G$34</f>
        <v>1.1882899151936241</v>
      </c>
      <c r="I35" s="113">
        <f>Data!H$34</f>
        <v>1.2212649603402472</v>
      </c>
      <c r="J35" s="113">
        <f>Data!I$34</f>
        <v>1.2582082253905398</v>
      </c>
      <c r="K35" s="114">
        <f>Data!J$34</f>
        <v>1.296898128321299</v>
      </c>
      <c r="L35" s="240"/>
    </row>
    <row r="36" spans="2:12" s="32" customFormat="1">
      <c r="B36" s="178" t="s">
        <v>506</v>
      </c>
      <c r="C36" s="277" t="s">
        <v>127</v>
      </c>
      <c r="D36" s="900">
        <f>INDEX(Data!$F$14:$F$30,MATCH($D$6-1,Data!$C$14:$C$30,0),0)/IF('RFPR cover'!$C$6="ED1",Data!$E$17,Data!$E$14)</f>
        <v>1.0526208235414325</v>
      </c>
      <c r="E36" s="901"/>
      <c r="F36" s="901"/>
      <c r="G36" s="901"/>
      <c r="H36" s="901"/>
      <c r="I36" s="901"/>
      <c r="J36" s="901"/>
      <c r="K36" s="901"/>
      <c r="L36" s="240"/>
    </row>
    <row r="37" spans="2:12" s="36" customFormat="1">
      <c r="B37" s="52"/>
      <c r="C37" s="499"/>
      <c r="D37" s="500"/>
      <c r="E37" s="500"/>
      <c r="F37" s="500"/>
      <c r="G37" s="500"/>
      <c r="H37" s="500"/>
      <c r="I37" s="500"/>
      <c r="J37" s="500"/>
      <c r="K37" s="500"/>
    </row>
    <row r="38" spans="2:12" s="2" customFormat="1">
      <c r="B38" s="12" t="s">
        <v>335</v>
      </c>
      <c r="C38" s="276" t="s">
        <v>128</v>
      </c>
      <c r="D38" s="753">
        <f t="shared" ref="D38:K38" si="8">D29*D34</f>
        <v>1631.1489666592242</v>
      </c>
      <c r="E38" s="753">
        <f t="shared" si="8"/>
        <v>1703.470511473728</v>
      </c>
      <c r="F38" s="753">
        <f t="shared" si="8"/>
        <v>1779.9162977496653</v>
      </c>
      <c r="G38" s="753">
        <f t="shared" si="8"/>
        <v>1866.3255199391474</v>
      </c>
      <c r="H38" s="753">
        <f t="shared" si="8"/>
        <v>1939.2865742979843</v>
      </c>
      <c r="I38" s="753">
        <f t="shared" si="8"/>
        <v>2007.4153605435465</v>
      </c>
      <c r="J38" s="753">
        <f t="shared" si="8"/>
        <v>2057.7018673902171</v>
      </c>
      <c r="K38" s="753">
        <f t="shared" si="8"/>
        <v>2108.6865161902492</v>
      </c>
    </row>
    <row r="39" spans="2:12" s="2" customFormat="1">
      <c r="B39" s="12"/>
      <c r="C39" s="218"/>
      <c r="D39" s="218"/>
      <c r="E39" s="218"/>
      <c r="F39" s="218"/>
      <c r="G39" s="218"/>
      <c r="H39" s="218"/>
      <c r="I39" s="218"/>
      <c r="J39" s="218"/>
      <c r="K39" s="218"/>
    </row>
    <row r="40" spans="2:12" s="2" customFormat="1">
      <c r="B40" s="528" t="s">
        <v>338</v>
      </c>
      <c r="C40" s="218" t="s">
        <v>341</v>
      </c>
      <c r="D40" s="430">
        <f>INDEX(Data!$K$73:$T$100,MATCH('RFPR cover'!$C$5,Data!$B$73:$B$100,0),MATCH('R9 - RAV'!D$6,Data!$K$72:$T$72,0))</f>
        <v>2.5499999999999998E-2</v>
      </c>
      <c r="E40" s="431">
        <f>INDEX(Data!$K$73:$T$100,MATCH('RFPR cover'!$C$5,Data!$B$73:$B$100,0),MATCH('R9 - RAV'!E$6,Data!$K$72:$T$72,0))</f>
        <v>2.4199999999999999E-2</v>
      </c>
      <c r="F40" s="431">
        <f>INDEX(Data!$K$73:$T$100,MATCH('RFPR cover'!$C$5,Data!$B$73:$B$100,0),MATCH('R9 - RAV'!F$6,Data!$K$72:$T$72,0))</f>
        <v>2.29E-2</v>
      </c>
      <c r="G40" s="431">
        <f>INDEX(Data!$K$73:$T$100,MATCH('RFPR cover'!$C$5,Data!$B$73:$B$100,0),MATCH('R9 - RAV'!G$6,Data!$K$72:$T$72,0))</f>
        <v>2.0899999999999998E-2</v>
      </c>
      <c r="H40" s="431">
        <f>INDEX(Data!$K$73:$T$100,MATCH('RFPR cover'!$C$5,Data!$B$73:$B$100,0),MATCH('R9 - RAV'!H$6,Data!$K$72:$T$72,0))</f>
        <v>1.9400000000000001E-2</v>
      </c>
      <c r="I40" s="431">
        <f>INDEX(Data!$K$73:$T$100,MATCH('RFPR cover'!$C$5,Data!$B$73:$B$100,0),MATCH('R9 - RAV'!I$6,Data!$K$72:$T$72,0))</f>
        <v>1.8200000000000001E-2</v>
      </c>
      <c r="J40" s="431">
        <f>INDEX(Data!$K$73:$T$100,MATCH('RFPR cover'!$C$5,Data!$B$73:$B$100,0),MATCH('R9 - RAV'!J$6,Data!$K$72:$T$72,0))</f>
        <v>1.72E-2</v>
      </c>
      <c r="K40" s="432">
        <f>INDEX(Data!$K$73:$T$100,MATCH('RFPR cover'!$C$5,Data!$B$73:$B$100,0),MATCH('R9 - RAV'!K$6,Data!$K$72:$T$72,0))</f>
        <v>1.6299999999999999E-2</v>
      </c>
    </row>
    <row r="41" spans="2:12" s="2" customFormat="1">
      <c r="B41" s="528" t="s">
        <v>339</v>
      </c>
      <c r="C41" s="218" t="s">
        <v>341</v>
      </c>
      <c r="D41" s="433">
        <f>'RFPR cover'!$C$10</f>
        <v>0.06</v>
      </c>
      <c r="E41" s="434">
        <f>'RFPR cover'!$C$10</f>
        <v>0.06</v>
      </c>
      <c r="F41" s="434">
        <f>'RFPR cover'!$C$10</f>
        <v>0.06</v>
      </c>
      <c r="G41" s="434">
        <f>'RFPR cover'!$C$10</f>
        <v>0.06</v>
      </c>
      <c r="H41" s="434">
        <f>'RFPR cover'!$C$10</f>
        <v>0.06</v>
      </c>
      <c r="I41" s="434">
        <f>'RFPR cover'!$C$10</f>
        <v>0.06</v>
      </c>
      <c r="J41" s="434">
        <f>'RFPR cover'!$C$10</f>
        <v>0.06</v>
      </c>
      <c r="K41" s="435">
        <f>'RFPR cover'!$C$10</f>
        <v>0.06</v>
      </c>
    </row>
    <row r="42" spans="2:12" s="2" customFormat="1">
      <c r="B42" s="528" t="s">
        <v>340</v>
      </c>
      <c r="C42" s="218" t="s">
        <v>7</v>
      </c>
      <c r="D42" s="436">
        <f>'RFPR cover'!$C$12</f>
        <v>0.65</v>
      </c>
      <c r="E42" s="437">
        <f>'RFPR cover'!$C$12</f>
        <v>0.65</v>
      </c>
      <c r="F42" s="437">
        <f>'RFPR cover'!$C$12</f>
        <v>0.65</v>
      </c>
      <c r="G42" s="437">
        <f>'RFPR cover'!$C$12</f>
        <v>0.65</v>
      </c>
      <c r="H42" s="437">
        <f>'RFPR cover'!$C$12</f>
        <v>0.65</v>
      </c>
      <c r="I42" s="437">
        <f>'RFPR cover'!$C$12</f>
        <v>0.65</v>
      </c>
      <c r="J42" s="437">
        <f>'RFPR cover'!$C$12</f>
        <v>0.65</v>
      </c>
      <c r="K42" s="438">
        <f>'RFPR cover'!$C$12</f>
        <v>0.65</v>
      </c>
    </row>
    <row r="43" spans="2:12">
      <c r="B43" s="208" t="s">
        <v>273</v>
      </c>
      <c r="C43" s="416" t="s">
        <v>341</v>
      </c>
      <c r="D43" s="427">
        <f t="shared" ref="D43:K43" si="9">D40*D42+D41*(1-D42)</f>
        <v>3.7574999999999997E-2</v>
      </c>
      <c r="E43" s="428">
        <f t="shared" si="9"/>
        <v>3.6729999999999999E-2</v>
      </c>
      <c r="F43" s="428">
        <f t="shared" si="9"/>
        <v>3.5885E-2</v>
      </c>
      <c r="G43" s="428">
        <f t="shared" si="9"/>
        <v>3.4584999999999998E-2</v>
      </c>
      <c r="H43" s="428">
        <f t="shared" si="9"/>
        <v>3.3610000000000001E-2</v>
      </c>
      <c r="I43" s="428">
        <f t="shared" si="9"/>
        <v>3.2829999999999998E-2</v>
      </c>
      <c r="J43" s="428">
        <f t="shared" si="9"/>
        <v>3.218E-2</v>
      </c>
      <c r="K43" s="429">
        <f t="shared" si="9"/>
        <v>3.1594999999999998E-2</v>
      </c>
      <c r="L43" s="219"/>
    </row>
    <row r="44" spans="2:12">
      <c r="C44" s="229"/>
      <c r="D44" s="224"/>
      <c r="E44" s="224"/>
      <c r="F44" s="224"/>
      <c r="G44" s="224"/>
      <c r="H44" s="224"/>
      <c r="I44" s="224"/>
      <c r="J44" s="224"/>
      <c r="K44" s="224"/>
    </row>
    <row r="45" spans="2:12">
      <c r="B45" s="388" t="s">
        <v>342</v>
      </c>
      <c r="C45" s="416" t="str">
        <f>'RFPR cover'!$C$14</f>
        <v>£m 12/13</v>
      </c>
      <c r="D45" s="95">
        <f t="shared" ref="D45:K45" si="10">D47*D42</f>
        <v>973.29187215551281</v>
      </c>
      <c r="E45" s="96">
        <f t="shared" si="10"/>
        <v>980.50447845714848</v>
      </c>
      <c r="F45" s="96">
        <f t="shared" si="10"/>
        <v>991.52268411717512</v>
      </c>
      <c r="G45" s="96">
        <f t="shared" si="10"/>
        <v>1007.7327788986145</v>
      </c>
      <c r="H45" s="96">
        <f t="shared" si="10"/>
        <v>1024.9055528737686</v>
      </c>
      <c r="I45" s="96">
        <f t="shared" si="10"/>
        <v>1035.4130091931524</v>
      </c>
      <c r="J45" s="96">
        <f t="shared" si="10"/>
        <v>1036.9179984127693</v>
      </c>
      <c r="K45" s="97">
        <f t="shared" si="10"/>
        <v>1031.5912788076557</v>
      </c>
    </row>
    <row r="46" spans="2:12">
      <c r="B46" s="388" t="s">
        <v>232</v>
      </c>
      <c r="C46" s="416" t="str">
        <f>'RFPR cover'!$C$14</f>
        <v>£m 12/13</v>
      </c>
      <c r="D46" s="543">
        <f t="shared" ref="D46:K46" si="11">D47*(1-D42)</f>
        <v>524.08023885296836</v>
      </c>
      <c r="E46" s="544">
        <f t="shared" si="11"/>
        <v>527.96394993846457</v>
      </c>
      <c r="F46" s="544">
        <f t="shared" si="11"/>
        <v>533.89682990924814</v>
      </c>
      <c r="G46" s="544">
        <f t="shared" si="11"/>
        <v>542.62534248386919</v>
      </c>
      <c r="H46" s="544">
        <f t="shared" si="11"/>
        <v>551.87222077818296</v>
      </c>
      <c r="I46" s="544">
        <f t="shared" si="11"/>
        <v>557.53008187323587</v>
      </c>
      <c r="J46" s="544">
        <f t="shared" si="11"/>
        <v>558.34046068379882</v>
      </c>
      <c r="K46" s="545">
        <f t="shared" si="11"/>
        <v>555.47222705027616</v>
      </c>
    </row>
    <row r="47" spans="2:12">
      <c r="B47" s="208" t="s">
        <v>231</v>
      </c>
      <c r="C47" s="218" t="str">
        <f>'RFPR cover'!$C$14</f>
        <v>£m 12/13</v>
      </c>
      <c r="D47" s="102">
        <f t="shared" ref="D47:K47" si="12">AVERAGE(D16,D29*(1/(1+D43)))</f>
        <v>1497.3721110084812</v>
      </c>
      <c r="E47" s="103">
        <f t="shared" si="12"/>
        <v>1508.468428395613</v>
      </c>
      <c r="F47" s="103">
        <f t="shared" si="12"/>
        <v>1525.4195140264233</v>
      </c>
      <c r="G47" s="103">
        <f t="shared" si="12"/>
        <v>1550.3581213824837</v>
      </c>
      <c r="H47" s="103">
        <f t="shared" si="12"/>
        <v>1576.7777736519515</v>
      </c>
      <c r="I47" s="103">
        <f t="shared" si="12"/>
        <v>1592.9430910663882</v>
      </c>
      <c r="J47" s="103">
        <f t="shared" si="12"/>
        <v>1595.2584590965682</v>
      </c>
      <c r="K47" s="104">
        <f t="shared" si="12"/>
        <v>1587.0635058579319</v>
      </c>
    </row>
    <row r="48" spans="2:12">
      <c r="B48" s="208"/>
      <c r="C48" s="218"/>
      <c r="D48" s="218"/>
      <c r="E48" s="218"/>
      <c r="F48" s="218"/>
      <c r="G48" s="218"/>
      <c r="H48" s="218"/>
      <c r="I48" s="218"/>
      <c r="J48" s="218"/>
      <c r="K48" s="218"/>
    </row>
    <row r="49" spans="2:12">
      <c r="B49" s="388" t="s">
        <v>343</v>
      </c>
      <c r="C49" s="416" t="str">
        <f>'RFPR cover'!$C$14</f>
        <v>£m 12/13</v>
      </c>
      <c r="D49" s="756">
        <f>D40*D45</f>
        <v>24.818942739965575</v>
      </c>
      <c r="E49" s="757">
        <f t="shared" ref="D49:K50" si="13">E40*E45</f>
        <v>23.728208378662991</v>
      </c>
      <c r="F49" s="757">
        <f t="shared" si="13"/>
        <v>22.70586946628331</v>
      </c>
      <c r="G49" s="757">
        <f t="shared" si="13"/>
        <v>21.061615078981042</v>
      </c>
      <c r="H49" s="757">
        <f t="shared" si="13"/>
        <v>19.883167725751111</v>
      </c>
      <c r="I49" s="757">
        <f t="shared" si="13"/>
        <v>18.844516767315376</v>
      </c>
      <c r="J49" s="757">
        <f t="shared" si="13"/>
        <v>17.83498957269963</v>
      </c>
      <c r="K49" s="758">
        <f t="shared" si="13"/>
        <v>16.814937844564788</v>
      </c>
    </row>
    <row r="50" spans="2:12">
      <c r="B50" s="388" t="s">
        <v>229</v>
      </c>
      <c r="C50" s="416" t="str">
        <f>'RFPR cover'!$C$14</f>
        <v>£m 12/13</v>
      </c>
      <c r="D50" s="92">
        <f t="shared" si="13"/>
        <v>31.444814331178101</v>
      </c>
      <c r="E50" s="93">
        <f t="shared" si="13"/>
        <v>31.677836996307875</v>
      </c>
      <c r="F50" s="93">
        <f t="shared" si="13"/>
        <v>32.033809794554884</v>
      </c>
      <c r="G50" s="93">
        <f t="shared" si="13"/>
        <v>32.557520549032148</v>
      </c>
      <c r="H50" s="93">
        <f t="shared" si="13"/>
        <v>33.11233324669098</v>
      </c>
      <c r="I50" s="93">
        <f t="shared" si="13"/>
        <v>33.451804912394152</v>
      </c>
      <c r="J50" s="93">
        <f t="shared" si="13"/>
        <v>33.500427641027926</v>
      </c>
      <c r="K50" s="94">
        <f t="shared" si="13"/>
        <v>33.328333623016569</v>
      </c>
    </row>
    <row r="51" spans="2:12">
      <c r="B51" s="208" t="s">
        <v>345</v>
      </c>
      <c r="C51" s="416" t="str">
        <f>'RFPR cover'!$C$14</f>
        <v>£m 12/13</v>
      </c>
      <c r="D51" s="102">
        <f>SUM(D49:D50)</f>
        <v>56.263757071143672</v>
      </c>
      <c r="E51" s="103">
        <f t="shared" ref="E51:K51" si="14">SUM(E49:E50)</f>
        <v>55.406045374970866</v>
      </c>
      <c r="F51" s="103">
        <f t="shared" si="14"/>
        <v>54.739679260838194</v>
      </c>
      <c r="G51" s="103">
        <f t="shared" si="14"/>
        <v>53.61913562801319</v>
      </c>
      <c r="H51" s="103">
        <f t="shared" si="14"/>
        <v>52.995500972442088</v>
      </c>
      <c r="I51" s="103">
        <f t="shared" si="14"/>
        <v>52.296321679709528</v>
      </c>
      <c r="J51" s="103">
        <f t="shared" si="14"/>
        <v>51.335417213727553</v>
      </c>
      <c r="K51" s="104">
        <f t="shared" si="14"/>
        <v>50.143271467581357</v>
      </c>
    </row>
    <row r="53" spans="2:12" s="32" customFormat="1">
      <c r="B53" s="388" t="s">
        <v>342</v>
      </c>
      <c r="C53" s="276" t="s">
        <v>128</v>
      </c>
      <c r="D53" s="95">
        <f t="shared" ref="D53:K54" si="15">D$35*D45</f>
        <v>1031.9976714781697</v>
      </c>
      <c r="E53" s="96">
        <f t="shared" si="15"/>
        <v>1061.9223163597292</v>
      </c>
      <c r="F53" s="96">
        <f t="shared" si="15"/>
        <v>1114.0391051201977</v>
      </c>
      <c r="G53" s="96">
        <f t="shared" si="15"/>
        <v>1166.8489143729792</v>
      </c>
      <c r="H53" s="96">
        <f t="shared" si="15"/>
        <v>1217.884932505845</v>
      </c>
      <c r="I53" s="96">
        <f t="shared" si="15"/>
        <v>1264.5136276080514</v>
      </c>
      <c r="J53" s="96">
        <f t="shared" si="15"/>
        <v>1304.658754658441</v>
      </c>
      <c r="K53" s="97">
        <f t="shared" si="15"/>
        <v>1337.868798678224</v>
      </c>
      <c r="L53" s="240"/>
    </row>
    <row r="54" spans="2:12" s="32" customFormat="1">
      <c r="B54" s="388" t="s">
        <v>232</v>
      </c>
      <c r="C54" s="276" t="s">
        <v>128</v>
      </c>
      <c r="D54" s="543">
        <f t="shared" si="15"/>
        <v>555.69105387286049</v>
      </c>
      <c r="E54" s="544">
        <f t="shared" si="15"/>
        <v>571.80432419370027</v>
      </c>
      <c r="F54" s="544">
        <f t="shared" si="15"/>
        <v>599.86721044933722</v>
      </c>
      <c r="G54" s="544">
        <f t="shared" si="15"/>
        <v>628.30326158545006</v>
      </c>
      <c r="H54" s="544">
        <f t="shared" si="15"/>
        <v>655.78419442622408</v>
      </c>
      <c r="I54" s="544">
        <f t="shared" si="15"/>
        <v>680.89195332741224</v>
      </c>
      <c r="J54" s="544">
        <f t="shared" si="15"/>
        <v>702.50856020069898</v>
      </c>
      <c r="K54" s="545">
        <f t="shared" si="15"/>
        <v>720.39089159596676</v>
      </c>
      <c r="L54" s="240"/>
    </row>
    <row r="55" spans="2:12">
      <c r="B55" s="208" t="s">
        <v>344</v>
      </c>
      <c r="C55" s="276" t="s">
        <v>128</v>
      </c>
      <c r="D55" s="759">
        <f>SUM(D53:D54)</f>
        <v>1587.6887253510301</v>
      </c>
      <c r="E55" s="760">
        <f t="shared" ref="E55:K55" si="16">SUM(E53:E54)</f>
        <v>1633.7266405534294</v>
      </c>
      <c r="F55" s="760">
        <f t="shared" si="16"/>
        <v>1713.9063155695349</v>
      </c>
      <c r="G55" s="760">
        <f t="shared" si="16"/>
        <v>1795.1521759584293</v>
      </c>
      <c r="H55" s="760">
        <f t="shared" si="16"/>
        <v>1873.669126932069</v>
      </c>
      <c r="I55" s="760">
        <f t="shared" si="16"/>
        <v>1945.4055809354636</v>
      </c>
      <c r="J55" s="760">
        <f t="shared" si="16"/>
        <v>2007.1673148591399</v>
      </c>
      <c r="K55" s="761">
        <f t="shared" si="16"/>
        <v>2058.2596902741907</v>
      </c>
    </row>
    <row r="56" spans="2:12" s="32" customFormat="1">
      <c r="B56" s="208"/>
      <c r="C56" s="218"/>
      <c r="D56" s="218"/>
      <c r="E56" s="218"/>
      <c r="F56" s="218"/>
      <c r="G56" s="218"/>
      <c r="H56" s="218"/>
      <c r="I56" s="218"/>
      <c r="J56" s="218"/>
      <c r="K56" s="218"/>
      <c r="L56" s="240"/>
    </row>
    <row r="57" spans="2:12" s="32" customFormat="1">
      <c r="B57" s="388" t="s">
        <v>343</v>
      </c>
      <c r="C57" s="276" t="s">
        <v>128</v>
      </c>
      <c r="D57" s="95">
        <f t="shared" ref="D57:K58" si="17">D$35*D49</f>
        <v>26.315940622693322</v>
      </c>
      <c r="E57" s="96">
        <f t="shared" si="17"/>
        <v>25.698520055905441</v>
      </c>
      <c r="F57" s="96">
        <f t="shared" si="17"/>
        <v>25.511495507252526</v>
      </c>
      <c r="G57" s="96">
        <f t="shared" si="17"/>
        <v>24.387142310395262</v>
      </c>
      <c r="H57" s="96">
        <f t="shared" si="17"/>
        <v>23.626967690613391</v>
      </c>
      <c r="I57" s="96">
        <f t="shared" si="17"/>
        <v>23.014148022466536</v>
      </c>
      <c r="J57" s="96">
        <f t="shared" si="17"/>
        <v>22.440130580125182</v>
      </c>
      <c r="K57" s="97">
        <f t="shared" si="17"/>
        <v>21.807261418455052</v>
      </c>
      <c r="L57" s="240"/>
    </row>
    <row r="58" spans="2:12">
      <c r="B58" s="388" t="s">
        <v>238</v>
      </c>
      <c r="C58" s="276" t="s">
        <v>128</v>
      </c>
      <c r="D58" s="762">
        <f t="shared" si="17"/>
        <v>33.34146323237163</v>
      </c>
      <c r="E58" s="763">
        <f t="shared" si="17"/>
        <v>34.308259451622014</v>
      </c>
      <c r="F58" s="763">
        <f t="shared" si="17"/>
        <v>35.992032626960224</v>
      </c>
      <c r="G58" s="763">
        <f t="shared" si="17"/>
        <v>37.698195695127005</v>
      </c>
      <c r="H58" s="763">
        <f t="shared" si="17"/>
        <v>39.347051665573446</v>
      </c>
      <c r="I58" s="763">
        <f t="shared" si="17"/>
        <v>40.853517199644735</v>
      </c>
      <c r="J58" s="763">
        <f t="shared" si="17"/>
        <v>42.150513612041934</v>
      </c>
      <c r="K58" s="764">
        <f t="shared" si="17"/>
        <v>43.223453495758008</v>
      </c>
    </row>
    <row r="59" spans="2:12">
      <c r="B59" s="208" t="s">
        <v>345</v>
      </c>
      <c r="C59" s="276" t="s">
        <v>128</v>
      </c>
      <c r="D59" s="102">
        <f t="shared" ref="D59:K59" si="18">SUM(D57:D58)</f>
        <v>59.657403855064956</v>
      </c>
      <c r="E59" s="103">
        <f t="shared" si="18"/>
        <v>60.006779507527455</v>
      </c>
      <c r="F59" s="103">
        <f t="shared" si="18"/>
        <v>61.50352813421275</v>
      </c>
      <c r="G59" s="103">
        <f t="shared" si="18"/>
        <v>62.085338005522267</v>
      </c>
      <c r="H59" s="103">
        <f t="shared" si="18"/>
        <v>62.974019356186837</v>
      </c>
      <c r="I59" s="103">
        <f t="shared" si="18"/>
        <v>63.86766522211127</v>
      </c>
      <c r="J59" s="103">
        <f t="shared" si="18"/>
        <v>64.590644192167119</v>
      </c>
      <c r="K59" s="104">
        <f t="shared" si="18"/>
        <v>65.030714914213064</v>
      </c>
    </row>
    <row r="60" spans="2:12">
      <c r="B60" s="14"/>
      <c r="C60" s="241"/>
      <c r="D60" s="241"/>
      <c r="E60" s="241"/>
      <c r="F60" s="241"/>
      <c r="G60" s="241"/>
      <c r="H60" s="241"/>
      <c r="I60" s="241"/>
      <c r="J60" s="241"/>
      <c r="K60" s="241"/>
    </row>
    <row r="61" spans="2:12">
      <c r="B61" s="14"/>
      <c r="C61" s="241"/>
      <c r="D61" s="241"/>
      <c r="E61" s="241"/>
      <c r="F61" s="241"/>
      <c r="G61" s="241"/>
      <c r="H61" s="241"/>
      <c r="I61" s="241"/>
      <c r="J61" s="241"/>
      <c r="K61" s="241"/>
    </row>
    <row r="62" spans="2:12">
      <c r="B62" s="14"/>
      <c r="C62" s="241"/>
      <c r="D62" s="241"/>
      <c r="E62" s="241"/>
      <c r="F62" s="241"/>
      <c r="G62" s="241"/>
      <c r="H62" s="241"/>
      <c r="I62" s="241"/>
      <c r="J62" s="241"/>
      <c r="K62" s="241"/>
    </row>
    <row r="63" spans="2:12">
      <c r="B63" s="14"/>
      <c r="C63" s="241"/>
      <c r="D63" s="241"/>
      <c r="E63" s="241"/>
      <c r="F63" s="241"/>
      <c r="G63" s="241"/>
      <c r="H63" s="241"/>
      <c r="I63" s="241"/>
      <c r="J63" s="241"/>
      <c r="K63" s="241"/>
    </row>
  </sheetData>
  <conditionalFormatting sqref="D6:K6">
    <cfRule type="expression" dxfId="22" priority="37">
      <formula>AND(D$5="Actuals",E$5="Forecast")</formula>
    </cfRule>
  </conditionalFormatting>
  <conditionalFormatting sqref="D5:K5">
    <cfRule type="expression" dxfId="21" priority="25">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L89"/>
  <sheetViews>
    <sheetView showGridLines="0" zoomScale="80" zoomScaleNormal="80" workbookViewId="0">
      <pane ySplit="6" topLeftCell="A7" activePane="bottomLeft" state="frozen"/>
      <selection activeCell="B75" sqref="A1:XFD1048576"/>
      <selection pane="bottomLeft" activeCell="E50" sqref="E50"/>
    </sheetView>
  </sheetViews>
  <sheetFormatPr defaultRowHeight="12.75"/>
  <cols>
    <col min="1" max="1" width="8.375" customWidth="1"/>
    <col min="2" max="2" width="95.5" customWidth="1"/>
    <col min="3" max="3" width="14.125" customWidth="1"/>
    <col min="4" max="11" width="11.125" customWidth="1"/>
    <col min="12" max="12" width="5" customWidth="1"/>
  </cols>
  <sheetData>
    <row r="1" spans="1:12" s="32" customFormat="1" ht="20.25">
      <c r="A1" s="264" t="s">
        <v>261</v>
      </c>
      <c r="B1" s="265"/>
      <c r="C1" s="265"/>
      <c r="D1" s="265"/>
      <c r="E1" s="265"/>
      <c r="F1" s="265"/>
      <c r="G1" s="265"/>
      <c r="H1" s="265"/>
      <c r="I1" s="266"/>
      <c r="J1" s="266"/>
      <c r="K1" s="267"/>
      <c r="L1" s="268"/>
    </row>
    <row r="2" spans="1:12" s="32" customFormat="1" ht="20.25">
      <c r="A2" s="124" t="str">
        <f>'RFPR cover'!C5</f>
        <v>SPD</v>
      </c>
      <c r="B2" s="30"/>
      <c r="C2" s="30"/>
      <c r="D2" s="30"/>
      <c r="E2" s="30"/>
      <c r="F2" s="30"/>
      <c r="G2" s="30"/>
      <c r="H2" s="30"/>
      <c r="I2" s="27"/>
      <c r="J2" s="27"/>
      <c r="K2" s="27"/>
      <c r="L2" s="125"/>
    </row>
    <row r="3" spans="1:12" s="32" customFormat="1" ht="20.25">
      <c r="A3" s="269">
        <f>'RFPR cover'!C7</f>
        <v>2019</v>
      </c>
      <c r="B3" s="270"/>
      <c r="C3" s="270"/>
      <c r="D3" s="270"/>
      <c r="E3" s="270"/>
      <c r="F3" s="270"/>
      <c r="G3" s="270"/>
      <c r="H3" s="270"/>
      <c r="I3" s="263"/>
      <c r="J3" s="263"/>
      <c r="K3" s="263"/>
      <c r="L3" s="271"/>
    </row>
    <row r="4" spans="1:12" s="32" customFormat="1" ht="12.75" customHeight="1">
      <c r="A4" s="272"/>
      <c r="B4" s="273"/>
      <c r="C4" s="272"/>
      <c r="D4" s="272"/>
      <c r="E4" s="272"/>
      <c r="F4" s="272"/>
      <c r="G4" s="272"/>
      <c r="H4" s="272"/>
      <c r="I4" s="274"/>
      <c r="J4" s="274"/>
      <c r="K4" s="274"/>
      <c r="L4" s="275"/>
    </row>
    <row r="5" spans="1:12" s="2" customFormat="1" ht="12.75" customHeight="1">
      <c r="B5" s="3"/>
      <c r="C5" s="3"/>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row>
    <row r="6" spans="1:12" s="2" customFormat="1" ht="12.75" customHeight="1">
      <c r="D6" s="117">
        <f>'RFPR cover'!$C$13</f>
        <v>2016</v>
      </c>
      <c r="E6" s="118">
        <f>D6+1</f>
        <v>2017</v>
      </c>
      <c r="F6" s="118">
        <f t="shared" ref="F6:K6" si="0">E6+1</f>
        <v>2018</v>
      </c>
      <c r="G6" s="118">
        <f t="shared" si="0"/>
        <v>2019</v>
      </c>
      <c r="H6" s="118">
        <f t="shared" si="0"/>
        <v>2020</v>
      </c>
      <c r="I6" s="118">
        <f t="shared" si="0"/>
        <v>2021</v>
      </c>
      <c r="J6" s="118">
        <f t="shared" si="0"/>
        <v>2022</v>
      </c>
      <c r="K6" s="202">
        <f t="shared" si="0"/>
        <v>2023</v>
      </c>
    </row>
    <row r="7" spans="1:12" s="36" customFormat="1">
      <c r="D7" s="451"/>
      <c r="E7" s="451"/>
      <c r="F7" s="451"/>
      <c r="G7" s="451"/>
      <c r="H7" s="451"/>
      <c r="I7" s="451"/>
      <c r="J7" s="451"/>
      <c r="K7" s="451"/>
    </row>
    <row r="8" spans="1:12" s="2" customFormat="1">
      <c r="B8" s="385" t="s">
        <v>362</v>
      </c>
      <c r="C8" s="304"/>
      <c r="D8" s="304"/>
      <c r="E8" s="304"/>
      <c r="F8" s="304"/>
      <c r="G8" s="304"/>
      <c r="H8" s="304"/>
      <c r="I8" s="304"/>
      <c r="J8" s="304"/>
      <c r="K8" s="304"/>
      <c r="L8" s="304"/>
    </row>
    <row r="9" spans="1:12" s="2" customFormat="1">
      <c r="B9" s="385" t="s">
        <v>467</v>
      </c>
      <c r="C9" s="304"/>
      <c r="D9" s="304"/>
      <c r="E9" s="304"/>
      <c r="F9" s="304"/>
      <c r="G9" s="304"/>
      <c r="H9" s="304"/>
      <c r="I9" s="304"/>
      <c r="J9" s="304"/>
      <c r="K9" s="304"/>
      <c r="L9" s="304"/>
    </row>
    <row r="10" spans="1:12" s="2" customFormat="1">
      <c r="B10" s="385" t="s">
        <v>363</v>
      </c>
      <c r="C10" s="304"/>
      <c r="D10" s="304"/>
      <c r="E10" s="304"/>
      <c r="F10" s="304"/>
      <c r="G10" s="304"/>
      <c r="H10" s="304"/>
      <c r="I10" s="304"/>
      <c r="J10" s="304"/>
      <c r="K10" s="304"/>
      <c r="L10" s="304"/>
    </row>
    <row r="11" spans="1:12" s="36" customFormat="1">
      <c r="B11" s="450"/>
    </row>
    <row r="12" spans="1:12">
      <c r="B12" s="207" t="s">
        <v>530</v>
      </c>
      <c r="C12" s="276" t="s">
        <v>128</v>
      </c>
      <c r="D12" s="661">
        <v>23.905992400000002</v>
      </c>
      <c r="E12" s="662">
        <v>19.895444569999999</v>
      </c>
      <c r="F12" s="662">
        <v>17.039407419562163</v>
      </c>
      <c r="G12" s="662"/>
      <c r="H12" s="662"/>
      <c r="I12" s="662"/>
      <c r="J12" s="662"/>
      <c r="K12" s="663"/>
    </row>
    <row r="13" spans="1:12">
      <c r="B13" s="14"/>
      <c r="C13" s="14"/>
      <c r="D13" s="765"/>
      <c r="E13" s="765"/>
      <c r="F13" s="765"/>
      <c r="G13" s="765"/>
      <c r="H13" s="765"/>
      <c r="I13" s="765"/>
      <c r="J13" s="765"/>
      <c r="K13" s="765"/>
    </row>
    <row r="14" spans="1:12">
      <c r="B14" s="14" t="s">
        <v>466</v>
      </c>
      <c r="C14" s="276"/>
      <c r="D14" s="765"/>
      <c r="E14" s="765"/>
      <c r="F14" s="765"/>
      <c r="G14" s="765"/>
      <c r="H14" s="765"/>
      <c r="I14" s="765"/>
      <c r="J14" s="765"/>
      <c r="K14" s="765"/>
    </row>
    <row r="15" spans="1:12">
      <c r="B15" s="386" t="s">
        <v>488</v>
      </c>
      <c r="C15" s="276" t="s">
        <v>128</v>
      </c>
      <c r="D15" s="618">
        <v>0</v>
      </c>
      <c r="E15" s="619">
        <v>0</v>
      </c>
      <c r="F15" s="619">
        <v>0</v>
      </c>
      <c r="G15" s="619"/>
      <c r="H15" s="619"/>
      <c r="I15" s="619"/>
      <c r="J15" s="619"/>
      <c r="K15" s="629"/>
    </row>
    <row r="16" spans="1:12">
      <c r="B16" s="452" t="s">
        <v>22</v>
      </c>
      <c r="C16" s="276" t="s">
        <v>128</v>
      </c>
      <c r="D16" s="618">
        <v>0</v>
      </c>
      <c r="E16" s="619">
        <v>0</v>
      </c>
      <c r="F16" s="619">
        <v>0</v>
      </c>
      <c r="G16" s="619"/>
      <c r="H16" s="619"/>
      <c r="I16" s="619"/>
      <c r="J16" s="619"/>
      <c r="K16" s="629"/>
    </row>
    <row r="17" spans="2:12">
      <c r="B17" s="452" t="s">
        <v>22</v>
      </c>
      <c r="C17" s="276" t="s">
        <v>128</v>
      </c>
      <c r="D17" s="618">
        <v>0</v>
      </c>
      <c r="E17" s="619">
        <v>0</v>
      </c>
      <c r="F17" s="619">
        <v>0</v>
      </c>
      <c r="G17" s="619"/>
      <c r="H17" s="619"/>
      <c r="I17" s="619"/>
      <c r="J17" s="619"/>
      <c r="K17" s="629"/>
    </row>
    <row r="18" spans="2:12">
      <c r="B18" s="452" t="s">
        <v>22</v>
      </c>
      <c r="C18" s="276" t="s">
        <v>128</v>
      </c>
      <c r="D18" s="618">
        <v>0</v>
      </c>
      <c r="E18" s="619">
        <v>0</v>
      </c>
      <c r="F18" s="619">
        <v>0</v>
      </c>
      <c r="G18" s="619"/>
      <c r="H18" s="619"/>
      <c r="I18" s="619"/>
      <c r="J18" s="619"/>
      <c r="K18" s="629"/>
    </row>
    <row r="19" spans="2:12">
      <c r="B19" s="278" t="s">
        <v>364</v>
      </c>
      <c r="C19" s="276" t="s">
        <v>128</v>
      </c>
      <c r="D19" s="766">
        <f>SUM(D15:D18)</f>
        <v>0</v>
      </c>
      <c r="E19" s="767">
        <f t="shared" ref="E19:K19" si="1">SUM(E15:E18)</f>
        <v>0</v>
      </c>
      <c r="F19" s="767">
        <f t="shared" si="1"/>
        <v>0</v>
      </c>
      <c r="G19" s="767">
        <f t="shared" si="1"/>
        <v>0</v>
      </c>
      <c r="H19" s="767">
        <f t="shared" si="1"/>
        <v>0</v>
      </c>
      <c r="I19" s="767">
        <f t="shared" si="1"/>
        <v>0</v>
      </c>
      <c r="J19" s="767">
        <f t="shared" si="1"/>
        <v>0</v>
      </c>
      <c r="K19" s="768">
        <f t="shared" si="1"/>
        <v>0</v>
      </c>
    </row>
    <row r="20" spans="2:12" s="32" customFormat="1">
      <c r="B20" s="386"/>
      <c r="C20" s="386"/>
      <c r="D20" s="769"/>
      <c r="E20" s="769"/>
      <c r="F20" s="769"/>
      <c r="G20" s="769"/>
      <c r="H20" s="769"/>
      <c r="I20" s="769"/>
      <c r="J20" s="769"/>
      <c r="K20" s="769"/>
      <c r="L20" s="386"/>
    </row>
    <row r="21" spans="2:12">
      <c r="B21" s="14" t="s">
        <v>334</v>
      </c>
      <c r="C21" s="276"/>
      <c r="D21" s="770"/>
      <c r="E21" s="770"/>
      <c r="F21" s="770"/>
      <c r="G21" s="770"/>
      <c r="H21" s="770"/>
      <c r="I21" s="770"/>
      <c r="J21" s="770"/>
      <c r="K21" s="770"/>
      <c r="L21" s="276"/>
    </row>
    <row r="22" spans="2:12">
      <c r="B22" s="386" t="s">
        <v>489</v>
      </c>
      <c r="C22" s="276" t="s">
        <v>128</v>
      </c>
      <c r="D22" s="887">
        <f>('R5 - Output Incentives'!D102)*INDEX(Data!$G$14:$G$30,MATCH('R10 - Tax'!D$6,Data!$C$14:$C$30,0),1)</f>
        <v>1.4297913899999997</v>
      </c>
      <c r="E22" s="888">
        <f>('R5 - Output Incentives'!E102)*INDEX(Data!$G$14:$G$30,MATCH('R10 - Tax'!E$6,Data!$C$14:$C$30,0),1)</f>
        <v>2.2390234200000001</v>
      </c>
      <c r="F22" s="888">
        <f>('R5 - Output Incentives'!F102)*INDEX(Data!$G$14:$G$30,MATCH('R10 - Tax'!F$6,Data!$C$14:$C$30,0),1)</f>
        <v>2.2768498564375976</v>
      </c>
      <c r="G22" s="888">
        <f>('R5 - Output Incentives'!G102)*INDEX(Data!$G$14:$G$30,MATCH('R10 - Tax'!G$6,Data!$C$14:$C$30,0),1)</f>
        <v>3.0246540702128</v>
      </c>
      <c r="H22" s="890">
        <f>('R5 - Output Incentives'!H102)*INDEX(Data!$G$14:$G$30,MATCH('R10 - Tax'!H$6,Data!$C$14:$C$30,0),1)</f>
        <v>2.885907737363107</v>
      </c>
      <c r="I22" s="890">
        <f>('R5 - Output Incentives'!I102)*INDEX(Data!$G$14:$G$30,MATCH('R10 - Tax'!I$6,Data!$C$14:$C$30,0),1)</f>
        <v>1.8463989755739258</v>
      </c>
      <c r="J22" s="890">
        <f>('R5 - Output Incentives'!J102)*INDEX(Data!$G$14:$G$30,MATCH('R10 - Tax'!J$6,Data!$C$14:$C$30,0),1)</f>
        <v>2.167563153235887</v>
      </c>
      <c r="K22" s="891">
        <f>('R5 - Output Incentives'!K102)*INDEX(Data!$G$14:$G$30,MATCH('R10 - Tax'!K$6,Data!$C$14:$C$30,0),1)</f>
        <v>1.9484683403288086</v>
      </c>
    </row>
    <row r="23" spans="2:12">
      <c r="B23" s="386" t="s">
        <v>490</v>
      </c>
      <c r="C23" s="276" t="s">
        <v>128</v>
      </c>
      <c r="D23" s="622">
        <f>('R4 - Totex'!D77-'R4 - Totex'!D79)*D39</f>
        <v>0</v>
      </c>
      <c r="E23" s="624">
        <f>('R4 - Totex'!E77-'R4 - Totex'!E79)*E39</f>
        <v>0</v>
      </c>
      <c r="F23" s="624">
        <f>('R4 - Totex'!F77-'R4 - Totex'!F79)*F39</f>
        <v>0</v>
      </c>
      <c r="G23" s="624">
        <f>('R4 - Totex'!G77-'R4 - Totex'!G79)*G39</f>
        <v>0</v>
      </c>
      <c r="H23" s="892">
        <f>('R4 - Totex'!H77-'R4 - Totex'!H79)*H39</f>
        <v>0</v>
      </c>
      <c r="I23" s="892">
        <f>('R4 - Totex'!I77-'R4 - Totex'!I79)*I39</f>
        <v>0</v>
      </c>
      <c r="J23" s="892">
        <f>('R4 - Totex'!J77-'R4 - Totex'!J79)*J39</f>
        <v>0</v>
      </c>
      <c r="K23" s="893">
        <f>('R4 - Totex'!K77-'R4 - Totex'!K79)*K39</f>
        <v>0</v>
      </c>
    </row>
    <row r="24" spans="2:12">
      <c r="B24" s="386" t="s">
        <v>491</v>
      </c>
      <c r="C24" s="276" t="s">
        <v>128</v>
      </c>
      <c r="D24" s="620">
        <v>0</v>
      </c>
      <c r="E24" s="621">
        <v>0</v>
      </c>
      <c r="F24" s="621">
        <v>0</v>
      </c>
      <c r="G24" s="621"/>
      <c r="H24" s="621"/>
      <c r="I24" s="621"/>
      <c r="J24" s="621"/>
      <c r="K24" s="630"/>
    </row>
    <row r="25" spans="2:12">
      <c r="B25" s="386" t="s">
        <v>492</v>
      </c>
      <c r="C25" s="276" t="s">
        <v>128</v>
      </c>
      <c r="D25" s="620">
        <v>0</v>
      </c>
      <c r="E25" s="621">
        <v>0</v>
      </c>
      <c r="F25" s="621">
        <v>0</v>
      </c>
      <c r="G25" s="621"/>
      <c r="H25" s="621"/>
      <c r="I25" s="621"/>
      <c r="J25" s="621"/>
      <c r="K25" s="630"/>
    </row>
    <row r="26" spans="2:12">
      <c r="B26" s="386" t="s">
        <v>493</v>
      </c>
      <c r="C26" s="276" t="s">
        <v>128</v>
      </c>
      <c r="D26" s="620">
        <v>0</v>
      </c>
      <c r="E26" s="621">
        <v>0</v>
      </c>
      <c r="F26" s="621">
        <v>0</v>
      </c>
      <c r="G26" s="621"/>
      <c r="H26" s="621"/>
      <c r="I26" s="621"/>
      <c r="J26" s="621"/>
      <c r="K26" s="630"/>
    </row>
    <row r="27" spans="2:12">
      <c r="B27" s="386" t="s">
        <v>494</v>
      </c>
      <c r="C27" s="276" t="s">
        <v>128</v>
      </c>
      <c r="D27" s="620">
        <v>0</v>
      </c>
      <c r="E27" s="621">
        <v>0</v>
      </c>
      <c r="F27" s="621">
        <v>0</v>
      </c>
      <c r="G27" s="621"/>
      <c r="H27" s="621"/>
      <c r="I27" s="621"/>
      <c r="J27" s="621"/>
      <c r="K27" s="630"/>
    </row>
    <row r="28" spans="2:12">
      <c r="B28" s="452" t="s">
        <v>544</v>
      </c>
      <c r="C28" s="276" t="s">
        <v>128</v>
      </c>
      <c r="D28" s="620">
        <v>0.1131528</v>
      </c>
      <c r="E28" s="621">
        <v>-2.3856482000000003</v>
      </c>
      <c r="F28" s="621">
        <v>0</v>
      </c>
      <c r="G28" s="621"/>
      <c r="H28" s="621"/>
      <c r="I28" s="621"/>
      <c r="J28" s="621"/>
      <c r="K28" s="630"/>
    </row>
    <row r="29" spans="2:12">
      <c r="B29" s="452" t="s">
        <v>545</v>
      </c>
      <c r="C29" s="276" t="s">
        <v>128</v>
      </c>
      <c r="D29" s="620">
        <v>0</v>
      </c>
      <c r="E29" s="621">
        <v>-0.77882522440353041</v>
      </c>
      <c r="F29" s="621">
        <v>0</v>
      </c>
      <c r="G29" s="621"/>
      <c r="H29" s="621"/>
      <c r="I29" s="621"/>
      <c r="J29" s="621"/>
      <c r="K29" s="630"/>
    </row>
    <row r="30" spans="2:12">
      <c r="B30" s="452" t="s">
        <v>546</v>
      </c>
      <c r="C30" s="276" t="s">
        <v>128</v>
      </c>
      <c r="D30" s="620">
        <v>10.896950907031936</v>
      </c>
      <c r="E30" s="621">
        <v>6.5933829471946508</v>
      </c>
      <c r="F30" s="621">
        <v>0</v>
      </c>
      <c r="G30" s="621"/>
      <c r="H30" s="621"/>
      <c r="I30" s="621"/>
      <c r="J30" s="621"/>
      <c r="K30" s="630"/>
    </row>
    <row r="31" spans="2:12">
      <c r="B31" s="452" t="s">
        <v>22</v>
      </c>
      <c r="C31" s="276" t="s">
        <v>128</v>
      </c>
      <c r="D31" s="620">
        <v>0</v>
      </c>
      <c r="E31" s="621">
        <v>0</v>
      </c>
      <c r="F31" s="621">
        <v>0</v>
      </c>
      <c r="G31" s="621"/>
      <c r="H31" s="621"/>
      <c r="I31" s="621"/>
      <c r="J31" s="621"/>
      <c r="K31" s="630"/>
    </row>
    <row r="32" spans="2:12">
      <c r="B32" s="452" t="s">
        <v>22</v>
      </c>
      <c r="C32" s="276" t="s">
        <v>128</v>
      </c>
      <c r="D32" s="620">
        <v>0</v>
      </c>
      <c r="E32" s="621">
        <v>0</v>
      </c>
      <c r="F32" s="621">
        <v>0</v>
      </c>
      <c r="G32" s="621"/>
      <c r="H32" s="621"/>
      <c r="I32" s="621"/>
      <c r="J32" s="621"/>
      <c r="K32" s="630"/>
    </row>
    <row r="33" spans="2:12">
      <c r="B33" s="452" t="s">
        <v>22</v>
      </c>
      <c r="C33" s="276" t="s">
        <v>128</v>
      </c>
      <c r="D33" s="631">
        <v>0</v>
      </c>
      <c r="E33" s="632">
        <v>0</v>
      </c>
      <c r="F33" s="632">
        <v>0</v>
      </c>
      <c r="G33" s="632"/>
      <c r="H33" s="632"/>
      <c r="I33" s="632"/>
      <c r="J33" s="632"/>
      <c r="K33" s="633"/>
    </row>
    <row r="34" spans="2:12">
      <c r="B34" s="14" t="s">
        <v>177</v>
      </c>
      <c r="C34" s="276" t="s">
        <v>128</v>
      </c>
      <c r="D34" s="771">
        <f t="shared" ref="D34:K34" si="2">SUM(D22:D33)</f>
        <v>12.439895097031936</v>
      </c>
      <c r="E34" s="772">
        <f t="shared" si="2"/>
        <v>5.6679329427911203</v>
      </c>
      <c r="F34" s="772">
        <f t="shared" si="2"/>
        <v>2.2768498564375976</v>
      </c>
      <c r="G34" s="772">
        <f t="shared" si="2"/>
        <v>3.0246540702128</v>
      </c>
      <c r="H34" s="772">
        <f t="shared" si="2"/>
        <v>2.885907737363107</v>
      </c>
      <c r="I34" s="772">
        <f t="shared" si="2"/>
        <v>1.8463989755739258</v>
      </c>
      <c r="J34" s="772">
        <f t="shared" si="2"/>
        <v>2.167563153235887</v>
      </c>
      <c r="K34" s="773">
        <f t="shared" si="2"/>
        <v>1.9484683403288086</v>
      </c>
    </row>
    <row r="36" spans="2:12" ht="12.75" customHeight="1">
      <c r="B36" s="852" t="s">
        <v>501</v>
      </c>
      <c r="C36" s="276" t="s">
        <v>128</v>
      </c>
      <c r="D36" s="661"/>
      <c r="E36" s="662"/>
      <c r="F36" s="662"/>
      <c r="G36" s="662">
        <v>16.218992422364352</v>
      </c>
      <c r="H36" s="662">
        <v>18.451395166614812</v>
      </c>
      <c r="I36" s="662">
        <v>16.449665845807004</v>
      </c>
      <c r="J36" s="662">
        <v>16.569772613054379</v>
      </c>
      <c r="K36" s="663">
        <v>16.249099282460847</v>
      </c>
    </row>
    <row r="37" spans="2:12" ht="12.75" customHeight="1">
      <c r="B37" s="852" t="s">
        <v>470</v>
      </c>
      <c r="C37" s="276" t="s">
        <v>128</v>
      </c>
      <c r="D37" s="771">
        <f t="shared" ref="D37:K37" si="3">D12+D36-D19-D34</f>
        <v>11.466097302968066</v>
      </c>
      <c r="E37" s="772">
        <f t="shared" si="3"/>
        <v>14.227511627208878</v>
      </c>
      <c r="F37" s="772">
        <f t="shared" si="3"/>
        <v>14.762557563124567</v>
      </c>
      <c r="G37" s="772">
        <f t="shared" si="3"/>
        <v>13.194338352151551</v>
      </c>
      <c r="H37" s="772">
        <f t="shared" si="3"/>
        <v>15.565487429251705</v>
      </c>
      <c r="I37" s="772">
        <f t="shared" si="3"/>
        <v>14.603266870233078</v>
      </c>
      <c r="J37" s="772">
        <f t="shared" si="3"/>
        <v>14.402209459818492</v>
      </c>
      <c r="K37" s="773">
        <f t="shared" si="3"/>
        <v>14.300630942132038</v>
      </c>
    </row>
    <row r="38" spans="2:12" ht="12.75" customHeight="1">
      <c r="B38" s="503"/>
      <c r="C38" s="276"/>
      <c r="D38" s="276"/>
      <c r="E38" s="276"/>
      <c r="F38" s="276"/>
      <c r="G38" s="276"/>
      <c r="H38" s="276"/>
      <c r="I38" s="276"/>
      <c r="J38" s="276"/>
      <c r="K38" s="276"/>
    </row>
    <row r="39" spans="2:12">
      <c r="B39" s="38" t="s">
        <v>478</v>
      </c>
      <c r="C39" s="277" t="s">
        <v>127</v>
      </c>
      <c r="D39" s="112">
        <f>Data!C$34</f>
        <v>1.0603167467048125</v>
      </c>
      <c r="E39" s="112">
        <f>Data!D$34</f>
        <v>1.0830366813119445</v>
      </c>
      <c r="F39" s="112">
        <f>Data!E$34</f>
        <v>1.1235639113109226</v>
      </c>
      <c r="G39" s="112">
        <f>Data!F$34</f>
        <v>1.1578951670583426</v>
      </c>
      <c r="H39" s="112">
        <f>Data!G$34</f>
        <v>1.1882899151936241</v>
      </c>
      <c r="I39" s="112">
        <f>Data!H$34</f>
        <v>1.2212649603402472</v>
      </c>
      <c r="J39" s="112">
        <f>Data!I$34</f>
        <v>1.2582082253905398</v>
      </c>
      <c r="K39" s="112">
        <f>Data!J$34</f>
        <v>1.296898128321299</v>
      </c>
      <c r="L39" s="276"/>
    </row>
    <row r="40" spans="2:12">
      <c r="B40" s="207"/>
      <c r="C40" s="276"/>
      <c r="D40" s="276"/>
      <c r="E40" s="276"/>
      <c r="F40" s="276"/>
      <c r="G40" s="276"/>
      <c r="H40" s="276"/>
      <c r="I40" s="276"/>
      <c r="J40" s="276"/>
      <c r="K40" s="276"/>
    </row>
    <row r="41" spans="2:12">
      <c r="B41" s="566" t="s">
        <v>471</v>
      </c>
      <c r="C41" s="416" t="str">
        <f>'RFPR cover'!$C$14</f>
        <v>£m 12/13</v>
      </c>
      <c r="D41" s="817">
        <f t="shared" ref="D41:K41" si="4">D37/D39</f>
        <v>10.813841560648459</v>
      </c>
      <c r="E41" s="818">
        <f t="shared" si="4"/>
        <v>13.136684908930579</v>
      </c>
      <c r="F41" s="818">
        <f t="shared" si="4"/>
        <v>13.139045687129888</v>
      </c>
      <c r="G41" s="818">
        <f t="shared" si="4"/>
        <v>11.395106161183874</v>
      </c>
      <c r="H41" s="818">
        <f t="shared" si="4"/>
        <v>13.099065497594003</v>
      </c>
      <c r="I41" s="818">
        <f t="shared" si="4"/>
        <v>11.957492718176876</v>
      </c>
      <c r="J41" s="818">
        <f t="shared" si="4"/>
        <v>11.44660253301725</v>
      </c>
      <c r="K41" s="819">
        <f t="shared" si="4"/>
        <v>11.026795883068111</v>
      </c>
    </row>
    <row r="42" spans="2:12">
      <c r="B42" s="852"/>
      <c r="C42" s="852"/>
      <c r="D42" s="852"/>
      <c r="E42" s="852"/>
      <c r="F42" s="852"/>
      <c r="G42" s="852"/>
      <c r="H42" s="852"/>
      <c r="I42" s="852"/>
      <c r="J42" s="852"/>
      <c r="K42" s="852"/>
    </row>
    <row r="43" spans="2:12">
      <c r="B43" s="860" t="s">
        <v>451</v>
      </c>
      <c r="C43" s="218"/>
      <c r="D43" s="218"/>
      <c r="E43" s="218"/>
      <c r="F43" s="218"/>
      <c r="G43" s="218"/>
      <c r="H43" s="218"/>
      <c r="I43" s="218"/>
      <c r="J43" s="218"/>
      <c r="K43" s="218"/>
    </row>
    <row r="44" spans="2:12">
      <c r="B44" s="385" t="s">
        <v>439</v>
      </c>
      <c r="C44" s="453"/>
      <c r="D44" s="453"/>
      <c r="E44" s="453"/>
      <c r="F44" s="453"/>
      <c r="G44" s="453"/>
      <c r="H44" s="453"/>
      <c r="I44" s="453"/>
      <c r="J44" s="453"/>
      <c r="K44" s="453"/>
      <c r="L44" s="453"/>
    </row>
    <row r="46" spans="2:12" ht="12.75" customHeight="1">
      <c r="B46" s="221" t="s">
        <v>115</v>
      </c>
      <c r="C46" s="161" t="s">
        <v>7</v>
      </c>
      <c r="D46" s="925">
        <f>'RFPR cover'!$C$12</f>
        <v>0.65</v>
      </c>
      <c r="E46" s="926">
        <f>'RFPR cover'!$C$12</f>
        <v>0.65</v>
      </c>
      <c r="F46" s="926">
        <f>'RFPR cover'!$C$12</f>
        <v>0.65</v>
      </c>
      <c r="G46" s="926">
        <f>'RFPR cover'!$C$12</f>
        <v>0.65</v>
      </c>
      <c r="H46" s="926">
        <f>'RFPR cover'!$C$12</f>
        <v>0.65</v>
      </c>
      <c r="I46" s="926">
        <f>'RFPR cover'!$C$12</f>
        <v>0.65</v>
      </c>
      <c r="J46" s="926">
        <f>'RFPR cover'!$C$12</f>
        <v>0.65</v>
      </c>
      <c r="K46" s="927">
        <f>'RFPR cover'!$C$12</f>
        <v>0.65</v>
      </c>
    </row>
    <row r="47" spans="2:12" ht="12.75" customHeight="1">
      <c r="B47" s="221" t="s">
        <v>401</v>
      </c>
      <c r="C47" s="161" t="s">
        <v>7</v>
      </c>
      <c r="D47" s="925">
        <f>'R8 - Net Debt'!D57</f>
        <v>0.62542022670402841</v>
      </c>
      <c r="E47" s="926">
        <f>'R8 - Net Debt'!E57</f>
        <v>0.61560247382389766</v>
      </c>
      <c r="F47" s="926">
        <f>'R8 - Net Debt'!F57</f>
        <v>0.61819146650557921</v>
      </c>
      <c r="G47" s="926">
        <f>'R8 - Net Debt'!G57</f>
        <v>0.61855469625149417</v>
      </c>
      <c r="H47" s="926">
        <f>'R8 - Net Debt'!H57</f>
        <v>0.63344063238084636</v>
      </c>
      <c r="I47" s="926">
        <f>'R8 - Net Debt'!I57</f>
        <v>0.65034111947629714</v>
      </c>
      <c r="J47" s="926">
        <f>'R8 - Net Debt'!J57</f>
        <v>0.64933604890122565</v>
      </c>
      <c r="K47" s="927">
        <f>'R8 - Net Debt'!K57</f>
        <v>0.64871586477479948</v>
      </c>
    </row>
    <row r="48" spans="2:12" ht="12.75" customHeight="1">
      <c r="B48" s="221"/>
      <c r="C48" s="161"/>
      <c r="D48" s="161"/>
      <c r="E48" s="161"/>
      <c r="F48" s="161"/>
      <c r="G48" s="161"/>
      <c r="H48" s="161"/>
      <c r="I48" s="161"/>
      <c r="J48" s="161"/>
      <c r="K48" s="161"/>
      <c r="L48" s="161"/>
    </row>
    <row r="49" spans="2:12" ht="12.75" customHeight="1">
      <c r="B49" s="852" t="s">
        <v>471</v>
      </c>
      <c r="C49" s="276" t="s">
        <v>128</v>
      </c>
      <c r="D49" s="817">
        <f>D37</f>
        <v>11.466097302968066</v>
      </c>
      <c r="E49" s="817">
        <f t="shared" ref="E49:K49" si="5">E37</f>
        <v>14.227511627208878</v>
      </c>
      <c r="F49" s="817">
        <f t="shared" si="5"/>
        <v>14.762557563124567</v>
      </c>
      <c r="G49" s="817">
        <f t="shared" si="5"/>
        <v>13.194338352151551</v>
      </c>
      <c r="H49" s="817">
        <f t="shared" si="5"/>
        <v>15.565487429251705</v>
      </c>
      <c r="I49" s="817">
        <f t="shared" si="5"/>
        <v>14.603266870233078</v>
      </c>
      <c r="J49" s="817">
        <f t="shared" si="5"/>
        <v>14.402209459818492</v>
      </c>
      <c r="K49" s="817">
        <f t="shared" si="5"/>
        <v>14.300630942132038</v>
      </c>
    </row>
    <row r="50" spans="2:12">
      <c r="B50" s="221" t="s">
        <v>452</v>
      </c>
      <c r="C50" s="276" t="s">
        <v>128</v>
      </c>
      <c r="D50" s="928">
        <f>-('R7 - Financing'!D65*INDEX(Data!$G$14:$G$30,MATCH('R10 - Tax'!D$6,Data!$C$14:$C$30,0),1))</f>
        <v>-0.22325205202669382</v>
      </c>
      <c r="E50" s="928">
        <f>-('R7 - Financing'!E65*INDEX(Data!$G$14:$G$30,MATCH('R10 - Tax'!E$6,Data!$C$14:$C$30,0),1))</f>
        <v>-0.18782020273053357</v>
      </c>
      <c r="F50" s="928">
        <f>-('R7 - Financing'!F65*INDEX(Data!$G$14:$G$30,MATCH('R10 - Tax'!F$6,Data!$C$14:$C$30,0),1))</f>
        <v>2.9708427831177345E-2</v>
      </c>
      <c r="G50" s="928">
        <f>-('R7 - Financing'!G65*INDEX(Data!$G$14:$G$30,MATCH('R10 - Tax'!G$6,Data!$C$14:$C$30,0),1))</f>
        <v>-2.6947879041761619E-2</v>
      </c>
      <c r="H50" s="928">
        <f>-('R7 - Financing'!H65*INDEX(Data!$G$14:$G$30,MATCH('R10 - Tax'!H$6,Data!$C$14:$C$30,0),1))</f>
        <v>-4.8195653985224123E-2</v>
      </c>
      <c r="I50" s="928">
        <f>-('R7 - Financing'!I65*INDEX(Data!$G$14:$G$30,MATCH('R10 - Tax'!I$6,Data!$C$14:$C$30,0),1))</f>
        <v>1.0005744494617536E-3</v>
      </c>
      <c r="J50" s="928">
        <f>-('R7 - Financing'!J65*INDEX(Data!$G$14:$G$30,MATCH('R10 - Tax'!J$6,Data!$C$14:$C$30,0),1))</f>
        <v>-1.3800170915385475E-3</v>
      </c>
      <c r="K50" s="928">
        <f>-('R7 - Financing'!K65*INDEX(Data!$G$14:$G$30,MATCH('R10 - Tax'!K$6,Data!$C$14:$C$30,0),1))</f>
        <v>-4.2998716883827321E-3</v>
      </c>
      <c r="L50" s="276"/>
    </row>
    <row r="51" spans="2:12" s="32" customFormat="1">
      <c r="B51" s="861" t="s">
        <v>409</v>
      </c>
      <c r="C51" s="276" t="s">
        <v>128</v>
      </c>
      <c r="D51" s="771">
        <f>SUM(D49:D50)</f>
        <v>11.242845250941372</v>
      </c>
      <c r="E51" s="772">
        <f t="shared" ref="E51:K51" si="6">SUM(E49:E50)</f>
        <v>14.039691424478345</v>
      </c>
      <c r="F51" s="772">
        <f t="shared" si="6"/>
        <v>14.792265990955745</v>
      </c>
      <c r="G51" s="772">
        <f t="shared" si="6"/>
        <v>13.167390473109789</v>
      </c>
      <c r="H51" s="772">
        <f t="shared" si="6"/>
        <v>15.517291775266481</v>
      </c>
      <c r="I51" s="772">
        <f t="shared" si="6"/>
        <v>14.60426744468254</v>
      </c>
      <c r="J51" s="772">
        <f t="shared" si="6"/>
        <v>14.400829442726954</v>
      </c>
      <c r="K51" s="773">
        <f t="shared" si="6"/>
        <v>14.296331070443655</v>
      </c>
      <c r="L51" s="837"/>
    </row>
    <row r="53" spans="2:12">
      <c r="B53" s="861" t="s">
        <v>409</v>
      </c>
      <c r="C53" s="416" t="str">
        <f>'RFPR cover'!$C$14</f>
        <v>£m 12/13</v>
      </c>
      <c r="D53" s="771">
        <f>D51/D39</f>
        <v>10.603289333947803</v>
      </c>
      <c r="E53" s="772">
        <f t="shared" ref="E53:K53" si="7">E51/E39</f>
        <v>12.963264926051499</v>
      </c>
      <c r="F53" s="772">
        <f t="shared" si="7"/>
        <v>13.16548693139922</v>
      </c>
      <c r="G53" s="772">
        <f t="shared" si="7"/>
        <v>11.371833001567685</v>
      </c>
      <c r="H53" s="772">
        <f t="shared" si="7"/>
        <v>13.058506663113469</v>
      </c>
      <c r="I53" s="772">
        <f t="shared" si="7"/>
        <v>11.958312011681524</v>
      </c>
      <c r="J53" s="772">
        <f t="shared" si="7"/>
        <v>11.44550572164399</v>
      </c>
      <c r="K53" s="773">
        <f t="shared" si="7"/>
        <v>11.023480378484917</v>
      </c>
    </row>
    <row r="54" spans="2:12">
      <c r="B54" s="861"/>
      <c r="C54" s="416"/>
      <c r="D54" s="416"/>
      <c r="E54" s="416"/>
      <c r="F54" s="416"/>
      <c r="G54" s="416"/>
      <c r="H54" s="416"/>
      <c r="I54" s="416"/>
      <c r="J54" s="416"/>
      <c r="K54" s="416"/>
    </row>
    <row r="56" spans="2:12">
      <c r="B56" s="820" t="s">
        <v>375</v>
      </c>
      <c r="C56" s="821"/>
      <c r="D56" s="821"/>
      <c r="E56" s="821"/>
      <c r="F56" s="821"/>
      <c r="G56" s="821"/>
      <c r="H56" s="821"/>
      <c r="I56" s="821"/>
      <c r="J56" s="821"/>
      <c r="K56" s="821"/>
      <c r="L56" s="821"/>
    </row>
    <row r="57" spans="2:12" s="32" customFormat="1">
      <c r="B57" s="512"/>
      <c r="C57" s="511"/>
      <c r="D57" s="511"/>
      <c r="E57" s="511"/>
      <c r="F57" s="511"/>
      <c r="G57" s="511"/>
      <c r="H57" s="511"/>
      <c r="I57" s="511"/>
      <c r="J57" s="511"/>
      <c r="K57" s="511"/>
      <c r="L57" s="511"/>
    </row>
    <row r="58" spans="2:12">
      <c r="B58" s="384" t="s">
        <v>472</v>
      </c>
      <c r="C58" s="304"/>
      <c r="D58" s="304"/>
      <c r="E58" s="304"/>
      <c r="F58" s="304"/>
      <c r="G58" s="304"/>
      <c r="H58" s="304"/>
      <c r="I58" s="304"/>
      <c r="J58" s="304"/>
      <c r="K58" s="304"/>
      <c r="L58" s="304"/>
    </row>
    <row r="59" spans="2:12" s="32" customFormat="1">
      <c r="B59" s="389"/>
      <c r="C59" s="36"/>
      <c r="D59" s="36"/>
      <c r="E59" s="36"/>
      <c r="F59" s="36"/>
      <c r="G59" s="36"/>
      <c r="H59" s="36"/>
      <c r="I59" s="36"/>
      <c r="J59" s="36"/>
      <c r="K59" s="36"/>
      <c r="L59" s="36"/>
    </row>
    <row r="60" spans="2:12">
      <c r="B60" s="208" t="s">
        <v>374</v>
      </c>
      <c r="C60" s="218" t="str">
        <f>'RFPR cover'!$C$14</f>
        <v>£m 12/13</v>
      </c>
      <c r="D60" s="606">
        <v>10.210828550463676</v>
      </c>
      <c r="E60" s="607">
        <v>9.1122014065209758</v>
      </c>
      <c r="F60" s="607">
        <v>8.9513773942022681</v>
      </c>
      <c r="G60" s="607">
        <v>10.797385463850869</v>
      </c>
      <c r="H60" s="607">
        <v>10.522846782971735</v>
      </c>
      <c r="I60" s="607">
        <v>10.578684658126473</v>
      </c>
      <c r="J60" s="607">
        <v>11.275544056878857</v>
      </c>
      <c r="K60" s="708">
        <v>11.762921891652761</v>
      </c>
    </row>
    <row r="61" spans="2:12">
      <c r="B61" s="208" t="s">
        <v>377</v>
      </c>
      <c r="C61" s="218" t="str">
        <f>'RFPR cover'!$C$14</f>
        <v>£m 12/13</v>
      </c>
      <c r="D61" s="614">
        <v>0</v>
      </c>
      <c r="E61" s="615">
        <v>0</v>
      </c>
      <c r="F61" s="615">
        <v>0</v>
      </c>
      <c r="G61" s="615">
        <v>0</v>
      </c>
      <c r="H61" s="615">
        <v>0</v>
      </c>
      <c r="I61" s="615">
        <v>0</v>
      </c>
      <c r="J61" s="615">
        <v>0</v>
      </c>
      <c r="K61" s="707">
        <v>0</v>
      </c>
    </row>
    <row r="62" spans="2:12">
      <c r="B62" s="208" t="s">
        <v>378</v>
      </c>
      <c r="C62" s="218" t="str">
        <f>'RFPR cover'!$C$14</f>
        <v>£m 12/13</v>
      </c>
      <c r="D62" s="669">
        <f t="shared" ref="D62:K62" si="8">SUM(D60:D61)</f>
        <v>10.210828550463676</v>
      </c>
      <c r="E62" s="670">
        <f t="shared" si="8"/>
        <v>9.1122014065209758</v>
      </c>
      <c r="F62" s="670">
        <f t="shared" si="8"/>
        <v>8.9513773942022681</v>
      </c>
      <c r="G62" s="670">
        <f t="shared" si="8"/>
        <v>10.797385463850869</v>
      </c>
      <c r="H62" s="670">
        <f t="shared" si="8"/>
        <v>10.522846782971735</v>
      </c>
      <c r="I62" s="670">
        <f t="shared" si="8"/>
        <v>10.578684658126473</v>
      </c>
      <c r="J62" s="670">
        <f t="shared" si="8"/>
        <v>11.275544056878857</v>
      </c>
      <c r="K62" s="671">
        <f t="shared" si="8"/>
        <v>11.762921891652761</v>
      </c>
    </row>
    <row r="63" spans="2:12">
      <c r="B63" s="208"/>
      <c r="C63" s="218"/>
      <c r="D63" s="218"/>
      <c r="E63" s="218"/>
      <c r="F63" s="218"/>
      <c r="G63" s="218"/>
      <c r="H63" s="218"/>
      <c r="I63" s="218"/>
      <c r="J63" s="218"/>
      <c r="K63" s="218"/>
      <c r="L63" s="218"/>
    </row>
    <row r="64" spans="2:12">
      <c r="B64" s="534" t="s">
        <v>473</v>
      </c>
      <c r="C64" s="304"/>
      <c r="D64" s="304"/>
      <c r="E64" s="304"/>
      <c r="F64" s="304"/>
      <c r="G64" s="304"/>
      <c r="H64" s="304"/>
      <c r="I64" s="304"/>
      <c r="J64" s="304"/>
      <c r="K64" s="304"/>
      <c r="L64" s="304"/>
    </row>
    <row r="65" spans="2:12" s="32" customFormat="1">
      <c r="B65" s="535"/>
      <c r="C65" s="36"/>
      <c r="D65" s="36"/>
      <c r="E65" s="36"/>
      <c r="F65" s="36"/>
      <c r="G65" s="36"/>
      <c r="H65" s="36"/>
      <c r="I65" s="36"/>
      <c r="J65" s="36"/>
      <c r="K65" s="36"/>
      <c r="L65" s="36"/>
    </row>
    <row r="66" spans="2:12">
      <c r="B66" s="208" t="s">
        <v>365</v>
      </c>
      <c r="C66" s="218" t="str">
        <f>'RFPR cover'!$C$14</f>
        <v>£m 12/13</v>
      </c>
      <c r="D66" s="606">
        <v>9.3649013126300318</v>
      </c>
      <c r="E66" s="607">
        <v>8.6955781963852079</v>
      </c>
      <c r="F66" s="607">
        <v>8.2147891533372057</v>
      </c>
      <c r="G66" s="607">
        <v>8.2455032630178966</v>
      </c>
      <c r="H66" s="607">
        <v>8.5751526871262911</v>
      </c>
      <c r="I66" s="607">
        <v>8.9519038729637277</v>
      </c>
      <c r="J66" s="607">
        <v>10.245343751041926</v>
      </c>
      <c r="K66" s="708">
        <v>10.997409402393227</v>
      </c>
    </row>
    <row r="67" spans="2:12">
      <c r="B67" s="208" t="s">
        <v>380</v>
      </c>
      <c r="C67" s="218" t="str">
        <f>'RFPR cover'!$C$14</f>
        <v>£m 12/13</v>
      </c>
      <c r="D67" s="614">
        <v>0</v>
      </c>
      <c r="E67" s="615">
        <v>0</v>
      </c>
      <c r="F67" s="615">
        <v>0</v>
      </c>
      <c r="G67" s="615">
        <v>0</v>
      </c>
      <c r="H67" s="615">
        <v>3.5342345925278842</v>
      </c>
      <c r="I67" s="615">
        <v>1.5422226922739117</v>
      </c>
      <c r="J67" s="615">
        <v>1.0185486003302007</v>
      </c>
      <c r="K67" s="707">
        <v>0.60973884519852106</v>
      </c>
    </row>
    <row r="68" spans="2:12">
      <c r="B68" s="14" t="s">
        <v>381</v>
      </c>
      <c r="C68" s="218" t="str">
        <f>'RFPR cover'!$C$14</f>
        <v>£m 12/13</v>
      </c>
      <c r="D68" s="634">
        <f t="shared" ref="D68:K68" si="9">SUM(D66:D67)</f>
        <v>9.3649013126300318</v>
      </c>
      <c r="E68" s="635">
        <f t="shared" si="9"/>
        <v>8.6955781963852079</v>
      </c>
      <c r="F68" s="635">
        <f t="shared" si="9"/>
        <v>8.2147891533372057</v>
      </c>
      <c r="G68" s="635">
        <f t="shared" si="9"/>
        <v>8.2455032630178966</v>
      </c>
      <c r="H68" s="635">
        <f t="shared" si="9"/>
        <v>12.109387279654175</v>
      </c>
      <c r="I68" s="635">
        <f t="shared" si="9"/>
        <v>10.494126565237639</v>
      </c>
      <c r="J68" s="635">
        <f t="shared" si="9"/>
        <v>11.263892351372126</v>
      </c>
      <c r="K68" s="636">
        <f t="shared" si="9"/>
        <v>11.607148247591748</v>
      </c>
    </row>
    <row r="69" spans="2:12" s="32" customFormat="1">
      <c r="B69" s="535"/>
      <c r="C69" s="36"/>
      <c r="D69" s="774"/>
      <c r="E69" s="774"/>
      <c r="F69" s="774"/>
      <c r="G69" s="774"/>
      <c r="H69" s="774"/>
      <c r="I69" s="774"/>
      <c r="J69" s="774"/>
      <c r="K69" s="774"/>
      <c r="L69" s="36"/>
    </row>
    <row r="70" spans="2:12" s="32" customFormat="1">
      <c r="B70" s="536" t="s">
        <v>379</v>
      </c>
      <c r="C70" s="36"/>
      <c r="D70" s="726">
        <f t="shared" ref="D70:K70" si="10">D68-D62</f>
        <v>-0.84592723783364399</v>
      </c>
      <c r="E70" s="727">
        <f t="shared" si="10"/>
        <v>-0.41662321013576786</v>
      </c>
      <c r="F70" s="727">
        <f t="shared" si="10"/>
        <v>-0.73658824086506236</v>
      </c>
      <c r="G70" s="727">
        <f t="shared" si="10"/>
        <v>-2.5518822008329725</v>
      </c>
      <c r="H70" s="727">
        <f t="shared" si="10"/>
        <v>1.5865404966824403</v>
      </c>
      <c r="I70" s="727">
        <f t="shared" si="10"/>
        <v>-8.4558092888833869E-2</v>
      </c>
      <c r="J70" s="727">
        <f t="shared" si="10"/>
        <v>-1.1651705506730892E-2</v>
      </c>
      <c r="K70" s="728">
        <f t="shared" si="10"/>
        <v>-0.15577364406101246</v>
      </c>
      <c r="L70" s="36"/>
    </row>
    <row r="71" spans="2:12">
      <c r="B71" s="208" t="s">
        <v>376</v>
      </c>
      <c r="C71" s="218" t="str">
        <f>'RFPR cover'!$C$14</f>
        <v>£m 12/13</v>
      </c>
      <c r="D71" s="610">
        <v>0</v>
      </c>
      <c r="E71" s="611">
        <v>0</v>
      </c>
      <c r="F71" s="611">
        <v>0</v>
      </c>
      <c r="G71" s="611">
        <v>0</v>
      </c>
      <c r="H71" s="611">
        <v>4.6768514254779205</v>
      </c>
      <c r="I71" s="611">
        <v>2.7189422076693193</v>
      </c>
      <c r="J71" s="611">
        <v>2.2097310589233121</v>
      </c>
      <c r="K71" s="706">
        <v>1.8102554698875559</v>
      </c>
    </row>
    <row r="72" spans="2:12">
      <c r="B72" s="208" t="s">
        <v>427</v>
      </c>
      <c r="C72" s="218" t="str">
        <f>'RFPR cover'!$C$14</f>
        <v>£m 12/13</v>
      </c>
      <c r="D72" s="610"/>
      <c r="E72" s="611"/>
      <c r="F72" s="611"/>
      <c r="G72" s="611"/>
      <c r="H72" s="611">
        <v>-1.1426168329500366</v>
      </c>
      <c r="I72" s="611">
        <v>-1.1426025537187308</v>
      </c>
      <c r="J72" s="611">
        <v>-1.1425837161676247</v>
      </c>
      <c r="K72" s="706">
        <v>-1.142576019206121</v>
      </c>
    </row>
    <row r="73" spans="2:12">
      <c r="B73" s="208" t="s">
        <v>334</v>
      </c>
      <c r="C73" s="218" t="str">
        <f>'RFPR cover'!$C$14</f>
        <v>£m 12/13</v>
      </c>
      <c r="D73" s="775">
        <v>-0.84592723783364399</v>
      </c>
      <c r="E73" s="776">
        <v>-0.41662321013576786</v>
      </c>
      <c r="F73" s="776">
        <v>-0.73658824086506236</v>
      </c>
      <c r="G73" s="776">
        <v>-2.5518822008329725</v>
      </c>
      <c r="H73" s="776">
        <v>-1.9476940958454438</v>
      </c>
      <c r="I73" s="776">
        <v>-1.6608977468394226</v>
      </c>
      <c r="J73" s="776">
        <v>-1.0787990482624181</v>
      </c>
      <c r="K73" s="777">
        <v>-0.82345309474244921</v>
      </c>
    </row>
    <row r="74" spans="2:12">
      <c r="B74" s="208" t="s">
        <v>122</v>
      </c>
      <c r="C74" s="218" t="str">
        <f>'RFPR cover'!$C$14</f>
        <v>£m 12/13</v>
      </c>
      <c r="D74" s="537" t="str">
        <f>IF(ABS(D70-SUM(D71:D73))&lt;'RFPR cover'!$F$14,"OK","ERROR")</f>
        <v>OK</v>
      </c>
      <c r="E74" s="538" t="str">
        <f>IF(ABS(E70-SUM(E71:E73))&lt;'RFPR cover'!$F$14,"OK","ERROR")</f>
        <v>OK</v>
      </c>
      <c r="F74" s="538" t="str">
        <f>IF(ABS(F70-SUM(F71:F73))&lt;'RFPR cover'!$F$14,"OK","ERROR")</f>
        <v>OK</v>
      </c>
      <c r="G74" s="538" t="str">
        <f>IF(ABS(G70-SUM(G71:G73))&lt;'RFPR cover'!$F$14,"OK","ERROR")</f>
        <v>OK</v>
      </c>
      <c r="H74" s="538" t="str">
        <f>IF(ABS(H70-SUM(H71:H73))&lt;'RFPR cover'!$F$14,"OK","ERROR")</f>
        <v>OK</v>
      </c>
      <c r="I74" s="538" t="str">
        <f>IF(ABS(I70-SUM(I71:I73))&lt;'RFPR cover'!$F$14,"OK","ERROR")</f>
        <v>OK</v>
      </c>
      <c r="J74" s="538" t="str">
        <f>IF(ABS(J70-SUM(J71:J73))&lt;'RFPR cover'!$F$14,"OK","ERROR")</f>
        <v>OK</v>
      </c>
      <c r="K74" s="539" t="str">
        <f>IF(ABS(K70-SUM(K71:K73))&lt;'RFPR cover'!$F$14,"OK","ERROR")</f>
        <v>OK</v>
      </c>
    </row>
    <row r="75" spans="2:12">
      <c r="B75" s="208"/>
      <c r="C75" s="208"/>
      <c r="D75" s="208"/>
      <c r="E75" s="208"/>
      <c r="F75" s="208"/>
      <c r="G75" s="208"/>
      <c r="H75" s="208"/>
      <c r="I75" s="208"/>
      <c r="J75" s="208"/>
      <c r="K75" s="208"/>
      <c r="L75" s="208"/>
    </row>
    <row r="77" spans="2:12">
      <c r="B77" s="865" t="s">
        <v>429</v>
      </c>
      <c r="C77" s="865"/>
      <c r="D77" s="865"/>
      <c r="E77" s="865"/>
      <c r="F77" s="865"/>
      <c r="G77" s="865"/>
      <c r="H77" s="865"/>
      <c r="I77" s="865"/>
      <c r="J77" s="865"/>
      <c r="K77" s="865"/>
      <c r="L77" s="865"/>
    </row>
    <row r="79" spans="2:12">
      <c r="B79" s="14" t="s">
        <v>430</v>
      </c>
      <c r="C79" s="219" t="str">
        <f>'RFPR cover'!$C$14</f>
        <v>£m 12/13</v>
      </c>
      <c r="D79" s="634">
        <f t="shared" ref="D79:K79" si="11">D$68-D41</f>
        <v>-1.4489402480184275</v>
      </c>
      <c r="E79" s="635">
        <f t="shared" si="11"/>
        <v>-4.4411067125453716</v>
      </c>
      <c r="F79" s="635">
        <f t="shared" si="11"/>
        <v>-4.9242565337926827</v>
      </c>
      <c r="G79" s="635">
        <f t="shared" si="11"/>
        <v>-3.1496028981659769</v>
      </c>
      <c r="H79" s="635">
        <f t="shared" si="11"/>
        <v>-0.98967821793982758</v>
      </c>
      <c r="I79" s="635">
        <f t="shared" si="11"/>
        <v>-1.463366152939237</v>
      </c>
      <c r="J79" s="635">
        <f t="shared" si="11"/>
        <v>-0.18271018164512398</v>
      </c>
      <c r="K79" s="636">
        <f t="shared" si="11"/>
        <v>0.58035236452363748</v>
      </c>
    </row>
    <row r="80" spans="2:12">
      <c r="B80" s="14"/>
      <c r="C80" s="14"/>
      <c r="D80" s="14"/>
      <c r="E80" s="14"/>
      <c r="F80" s="14"/>
      <c r="G80" s="14"/>
      <c r="H80" s="14"/>
      <c r="I80" s="14"/>
      <c r="J80" s="14"/>
      <c r="K80" s="14"/>
    </row>
    <row r="81" spans="2:11">
      <c r="B81" s="14" t="s">
        <v>441</v>
      </c>
      <c r="C81" s="219" t="str">
        <f>'RFPR cover'!$C$14</f>
        <v>£m 12/13</v>
      </c>
      <c r="D81" s="634">
        <f t="shared" ref="D81:K81" si="12">D$68-D53</f>
        <v>-1.2383880213177711</v>
      </c>
      <c r="E81" s="635">
        <f t="shared" si="12"/>
        <v>-4.2676867296662913</v>
      </c>
      <c r="F81" s="635">
        <f t="shared" si="12"/>
        <v>-4.9506977780620147</v>
      </c>
      <c r="G81" s="635">
        <f t="shared" si="12"/>
        <v>-3.1263297385497886</v>
      </c>
      <c r="H81" s="635">
        <f t="shared" si="12"/>
        <v>-0.94911938345929414</v>
      </c>
      <c r="I81" s="635">
        <f t="shared" si="12"/>
        <v>-1.464185446443885</v>
      </c>
      <c r="J81" s="635">
        <f t="shared" si="12"/>
        <v>-0.18161337027186342</v>
      </c>
      <c r="K81" s="636">
        <f t="shared" si="12"/>
        <v>0.58366786910683111</v>
      </c>
    </row>
    <row r="83" spans="2:11">
      <c r="B83" s="14" t="s">
        <v>440</v>
      </c>
      <c r="C83" s="219" t="str">
        <f>'RFPR cover'!$C$14</f>
        <v>£m 12/13</v>
      </c>
      <c r="D83" s="634">
        <f>D79-D81</f>
        <v>-0.21055222670065632</v>
      </c>
      <c r="E83" s="635">
        <f t="shared" ref="E83:K83" si="13">E79-E81</f>
        <v>-0.17341998287908034</v>
      </c>
      <c r="F83" s="635">
        <f t="shared" si="13"/>
        <v>2.6441244269332032E-2</v>
      </c>
      <c r="G83" s="635">
        <f t="shared" si="13"/>
        <v>-2.3273159616188366E-2</v>
      </c>
      <c r="H83" s="635">
        <f t="shared" si="13"/>
        <v>-4.0558834480533434E-2</v>
      </c>
      <c r="I83" s="635">
        <f t="shared" si="13"/>
        <v>8.1929350464804429E-4</v>
      </c>
      <c r="J83" s="635">
        <f t="shared" si="13"/>
        <v>-1.0968113732605644E-3</v>
      </c>
      <c r="K83" s="636">
        <f t="shared" si="13"/>
        <v>-3.3155045831936292E-3</v>
      </c>
    </row>
    <row r="85" spans="2:11">
      <c r="B85" t="s">
        <v>524</v>
      </c>
      <c r="C85" s="276" t="s">
        <v>128</v>
      </c>
      <c r="D85" s="606"/>
      <c r="E85" s="606"/>
      <c r="F85" s="606"/>
      <c r="G85" s="606"/>
      <c r="H85" s="606"/>
      <c r="I85" s="606"/>
      <c r="J85" s="606"/>
      <c r="K85" s="942"/>
    </row>
    <row r="86" spans="2:11">
      <c r="B86" t="s">
        <v>524</v>
      </c>
      <c r="C86" s="416" t="str">
        <f>'RFPR cover'!$C$14</f>
        <v>£m 12/13</v>
      </c>
      <c r="D86" s="817">
        <f>D85/D$39</f>
        <v>0</v>
      </c>
      <c r="E86" s="817">
        <f t="shared" ref="E86:K86" si="14">E85/E$39</f>
        <v>0</v>
      </c>
      <c r="F86" s="817">
        <f t="shared" si="14"/>
        <v>0</v>
      </c>
      <c r="G86" s="817">
        <f t="shared" si="14"/>
        <v>0</v>
      </c>
      <c r="H86" s="817">
        <f t="shared" si="14"/>
        <v>0</v>
      </c>
      <c r="I86" s="817">
        <f t="shared" si="14"/>
        <v>0</v>
      </c>
      <c r="J86" s="817">
        <f t="shared" si="14"/>
        <v>0</v>
      </c>
      <c r="K86" s="943">
        <f t="shared" si="14"/>
        <v>0</v>
      </c>
    </row>
    <row r="87" spans="2:11">
      <c r="B87" t="s">
        <v>525</v>
      </c>
      <c r="C87" s="276" t="s">
        <v>128</v>
      </c>
      <c r="D87" s="610"/>
      <c r="E87" s="610"/>
      <c r="F87" s="610"/>
      <c r="G87" s="610"/>
      <c r="H87" s="610"/>
      <c r="I87" s="610"/>
      <c r="J87" s="610"/>
      <c r="K87" s="944"/>
    </row>
    <row r="88" spans="2:11">
      <c r="B88" t="s">
        <v>525</v>
      </c>
      <c r="C88" s="416" t="str">
        <f>'RFPR cover'!$C$14</f>
        <v>£m 12/13</v>
      </c>
      <c r="D88" s="817">
        <f t="shared" ref="D88:K88" si="15">D87/D$39</f>
        <v>0</v>
      </c>
      <c r="E88" s="817">
        <f t="shared" si="15"/>
        <v>0</v>
      </c>
      <c r="F88" s="817">
        <f t="shared" si="15"/>
        <v>0</v>
      </c>
      <c r="G88" s="817">
        <f t="shared" si="15"/>
        <v>0</v>
      </c>
      <c r="H88" s="817">
        <f t="shared" si="15"/>
        <v>0</v>
      </c>
      <c r="I88" s="817">
        <f t="shared" si="15"/>
        <v>0</v>
      </c>
      <c r="J88" s="817">
        <f t="shared" si="15"/>
        <v>0</v>
      </c>
      <c r="K88" s="943">
        <f t="shared" si="15"/>
        <v>0</v>
      </c>
    </row>
    <row r="89" spans="2:11">
      <c r="B89" t="s">
        <v>528</v>
      </c>
      <c r="C89" s="416" t="str">
        <f>'RFPR cover'!$C$14</f>
        <v>£m 12/13</v>
      </c>
      <c r="D89" s="817">
        <f>D86-D88</f>
        <v>0</v>
      </c>
      <c r="E89" s="817">
        <f t="shared" ref="E89:K89" si="16">E86-E88</f>
        <v>0</v>
      </c>
      <c r="F89" s="817">
        <f t="shared" si="16"/>
        <v>0</v>
      </c>
      <c r="G89" s="817">
        <f t="shared" si="16"/>
        <v>0</v>
      </c>
      <c r="H89" s="817">
        <f t="shared" si="16"/>
        <v>0</v>
      </c>
      <c r="I89" s="817">
        <f t="shared" si="16"/>
        <v>0</v>
      </c>
      <c r="J89" s="817">
        <f t="shared" si="16"/>
        <v>0</v>
      </c>
      <c r="K89" s="943">
        <f t="shared" si="16"/>
        <v>0</v>
      </c>
    </row>
  </sheetData>
  <conditionalFormatting sqref="D6:K7">
    <cfRule type="expression" dxfId="20" priority="85">
      <formula>AND(D$6="Actuals",E$6="Forecast")</formula>
    </cfRule>
  </conditionalFormatting>
  <conditionalFormatting sqref="D5:K5">
    <cfRule type="expression" dxfId="19" priority="60">
      <formula>AND(D$5="Actuals",E$5="Forecast")</formula>
    </cfRule>
  </conditionalFormatting>
  <conditionalFormatting sqref="D36:K36">
    <cfRule type="expression" dxfId="18" priority="28">
      <formula>AND(D$5="Actuals",E$5="Actuals")</formula>
    </cfRule>
  </conditionalFormatting>
  <conditionalFormatting sqref="D12:K12 D15:K19 D24:K33">
    <cfRule type="expression" dxfId="17" priority="27">
      <formula>NOT(AND(D$5="Actuals",E$5="Actuals"))</formula>
    </cfRule>
  </conditionalFormatting>
  <pageMargins left="0.70866141732283472" right="0.70866141732283472" top="0.74803149606299213" bottom="0.74803149606299213" header="0.31496062992125984" footer="0.31496062992125984"/>
  <pageSetup paperSize="9" scale="5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L15"/>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3.125" bestFit="1" customWidth="1"/>
    <col min="3" max="3" width="14.125" customWidth="1"/>
    <col min="4" max="11" width="11.125" customWidth="1"/>
    <col min="12" max="12" width="5" customWidth="1"/>
  </cols>
  <sheetData>
    <row r="1" spans="1:12" s="32" customFormat="1" ht="20.25">
      <c r="A1" s="120" t="s">
        <v>260</v>
      </c>
      <c r="B1" s="121"/>
      <c r="C1" s="121"/>
      <c r="D1" s="121"/>
      <c r="E1" s="121"/>
      <c r="F1" s="121"/>
      <c r="G1" s="121"/>
      <c r="H1" s="121"/>
      <c r="I1" s="129"/>
      <c r="J1" s="129"/>
      <c r="K1" s="130"/>
      <c r="L1" s="131"/>
    </row>
    <row r="2" spans="1:12" s="32" customFormat="1" ht="20.25">
      <c r="A2" s="124" t="str">
        <f>'RFPR cover'!C5</f>
        <v>SPD</v>
      </c>
      <c r="B2" s="30"/>
      <c r="C2" s="30"/>
      <c r="D2" s="30"/>
      <c r="E2" s="30"/>
      <c r="F2" s="30"/>
      <c r="G2" s="30"/>
      <c r="H2" s="30"/>
      <c r="I2" s="27"/>
      <c r="J2" s="27"/>
      <c r="K2" s="27"/>
      <c r="L2" s="125"/>
    </row>
    <row r="3" spans="1:12" s="32" customFormat="1" ht="23.25">
      <c r="A3" s="126">
        <f>'RFPR cover'!C7</f>
        <v>2019</v>
      </c>
      <c r="B3" s="937" t="str">
        <f>'R1 - RoRE'!B3</f>
        <v/>
      </c>
      <c r="C3" s="127"/>
      <c r="D3" s="127"/>
      <c r="E3" s="127"/>
      <c r="F3" s="127"/>
      <c r="G3" s="127"/>
      <c r="H3" s="127"/>
      <c r="I3" s="29"/>
      <c r="J3" s="29"/>
      <c r="K3" s="29"/>
      <c r="L3" s="128"/>
    </row>
    <row r="4" spans="1:12" s="2" customFormat="1" ht="12.75" customHeight="1"/>
    <row r="5" spans="1:12" s="2" customFormat="1" ht="12.75" customHeight="1">
      <c r="B5" s="3"/>
      <c r="C5" s="3"/>
      <c r="D5" s="406" t="str">
        <f>IF(D6&lt;='RFPR cover'!$C$7,"Actuals","N/A")</f>
        <v>Actuals</v>
      </c>
      <c r="E5" s="407" t="str">
        <f>IF(E6&lt;='RFPR cover'!$C$7,"Actuals","N/A")</f>
        <v>Actuals</v>
      </c>
      <c r="F5" s="407" t="str">
        <f>IF(F6&lt;='RFPR cover'!$C$7,"Actuals","N/A")</f>
        <v>Actuals</v>
      </c>
      <c r="G5" s="407" t="str">
        <f>IF(G6&lt;='RFPR cover'!$C$7,"Actuals","N/A")</f>
        <v>Actuals</v>
      </c>
      <c r="H5" s="407" t="str">
        <f>IF(H6&lt;='RFPR cover'!$C$7,"Actuals","N/A")</f>
        <v>N/A</v>
      </c>
      <c r="I5" s="407" t="str">
        <f>IF(I6&lt;='RFPR cover'!$C$7,"Actuals","N/A")</f>
        <v>N/A</v>
      </c>
      <c r="J5" s="407" t="str">
        <f>IF(J6&lt;='RFPR cover'!$C$7,"Actuals","N/A")</f>
        <v>N/A</v>
      </c>
      <c r="K5" s="408" t="str">
        <f>IF(K6&lt;='RFPR cover'!$C$7,"Actuals","N/A")</f>
        <v>N/A</v>
      </c>
    </row>
    <row r="6" spans="1:12" s="2" customFormat="1" ht="12.75" customHeight="1">
      <c r="D6" s="117">
        <f>'RFPR cover'!$C$13</f>
        <v>2016</v>
      </c>
      <c r="E6" s="118">
        <f>D6+1</f>
        <v>2017</v>
      </c>
      <c r="F6" s="118">
        <f t="shared" ref="F6:K6" si="0">E6+1</f>
        <v>2018</v>
      </c>
      <c r="G6" s="118">
        <f t="shared" si="0"/>
        <v>2019</v>
      </c>
      <c r="H6" s="118">
        <f t="shared" si="0"/>
        <v>2020</v>
      </c>
      <c r="I6" s="118">
        <f t="shared" si="0"/>
        <v>2021</v>
      </c>
      <c r="J6" s="118">
        <f t="shared" si="0"/>
        <v>2022</v>
      </c>
      <c r="K6" s="202">
        <f t="shared" si="0"/>
        <v>2023</v>
      </c>
    </row>
    <row r="7" spans="1:12" s="2" customFormat="1"/>
    <row r="8" spans="1:12">
      <c r="B8" s="14" t="s">
        <v>230</v>
      </c>
      <c r="C8" s="158" t="s">
        <v>128</v>
      </c>
      <c r="D8" s="661">
        <v>65</v>
      </c>
      <c r="E8" s="662">
        <v>69</v>
      </c>
      <c r="F8" s="662">
        <v>94.3</v>
      </c>
      <c r="G8" s="662">
        <v>72</v>
      </c>
      <c r="H8" s="662"/>
      <c r="I8" s="662"/>
      <c r="J8" s="662"/>
      <c r="K8" s="663"/>
    </row>
    <row r="9" spans="1:12">
      <c r="B9" s="15" t="s">
        <v>105</v>
      </c>
      <c r="C9" s="14"/>
      <c r="D9" s="778"/>
      <c r="E9" s="778"/>
      <c r="F9" s="778"/>
      <c r="G9" s="778"/>
      <c r="H9" s="778"/>
      <c r="I9" s="778"/>
      <c r="J9" s="778"/>
      <c r="K9" s="778"/>
    </row>
    <row r="10" spans="1:12">
      <c r="B10" s="452" t="s">
        <v>22</v>
      </c>
      <c r="C10" s="158" t="s">
        <v>128</v>
      </c>
      <c r="D10" s="618"/>
      <c r="E10" s="619"/>
      <c r="F10" s="619"/>
      <c r="G10" s="619"/>
      <c r="H10" s="619"/>
      <c r="I10" s="619"/>
      <c r="J10" s="619"/>
      <c r="K10" s="629"/>
    </row>
    <row r="11" spans="1:12">
      <c r="B11" s="452" t="s">
        <v>22</v>
      </c>
      <c r="C11" s="158" t="s">
        <v>128</v>
      </c>
      <c r="D11" s="620"/>
      <c r="E11" s="621"/>
      <c r="F11" s="621"/>
      <c r="G11" s="621"/>
      <c r="H11" s="621"/>
      <c r="I11" s="621"/>
      <c r="J11" s="621"/>
      <c r="K11" s="630"/>
    </row>
    <row r="12" spans="1:12">
      <c r="B12" s="452" t="s">
        <v>20</v>
      </c>
      <c r="C12" s="158" t="s">
        <v>128</v>
      </c>
      <c r="D12" s="631"/>
      <c r="E12" s="632"/>
      <c r="F12" s="632"/>
      <c r="G12" s="632"/>
      <c r="H12" s="632"/>
      <c r="I12" s="632"/>
      <c r="J12" s="632"/>
      <c r="K12" s="633"/>
    </row>
    <row r="13" spans="1:12">
      <c r="B13" s="14" t="s">
        <v>106</v>
      </c>
      <c r="C13" s="158" t="s">
        <v>128</v>
      </c>
      <c r="D13" s="766">
        <f>D8-SUM(D10:D12)</f>
        <v>65</v>
      </c>
      <c r="E13" s="767">
        <f t="shared" ref="E13:K13" si="1">E8-SUM(E10:E12)</f>
        <v>69</v>
      </c>
      <c r="F13" s="767">
        <f t="shared" si="1"/>
        <v>94.3</v>
      </c>
      <c r="G13" s="767">
        <f t="shared" si="1"/>
        <v>72</v>
      </c>
      <c r="H13" s="767">
        <f t="shared" si="1"/>
        <v>0</v>
      </c>
      <c r="I13" s="767">
        <f t="shared" si="1"/>
        <v>0</v>
      </c>
      <c r="J13" s="767">
        <f t="shared" si="1"/>
        <v>0</v>
      </c>
      <c r="K13" s="768">
        <f t="shared" si="1"/>
        <v>0</v>
      </c>
    </row>
    <row r="14" spans="1:12">
      <c r="C14" s="14"/>
    </row>
    <row r="15" spans="1:12">
      <c r="B15" s="14" t="s">
        <v>500</v>
      </c>
      <c r="C15" s="158" t="s">
        <v>128</v>
      </c>
      <c r="D15" s="618"/>
      <c r="E15" s="619"/>
      <c r="F15" s="619"/>
      <c r="G15" s="619"/>
      <c r="H15" s="619"/>
      <c r="I15" s="619"/>
      <c r="J15" s="619"/>
      <c r="K15" s="629"/>
    </row>
  </sheetData>
  <conditionalFormatting sqref="D6:K6">
    <cfRule type="expression" dxfId="16" priority="16">
      <formula>AND(D$5="Actuals",E$5="N/A")</formula>
    </cfRule>
  </conditionalFormatting>
  <conditionalFormatting sqref="D5:K5">
    <cfRule type="expression" dxfId="15" priority="9">
      <formula>AND(D$5="Actuals",E$5="N/A")</formula>
    </cfRule>
  </conditionalFormatting>
  <conditionalFormatting sqref="D8:K8 D5:K6 D10:K13">
    <cfRule type="expression" dxfId="14" priority="8">
      <formula>D$5="N/A"</formula>
    </cfRule>
  </conditionalFormatting>
  <conditionalFormatting sqref="D15:K15">
    <cfRule type="expression" dxfId="13" priority="7">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2" customFormat="1" ht="20.25">
      <c r="A1" s="264" t="s">
        <v>259</v>
      </c>
      <c r="B1" s="265"/>
      <c r="C1" s="265"/>
      <c r="D1" s="265"/>
      <c r="E1" s="265"/>
      <c r="F1" s="265"/>
      <c r="G1" s="265"/>
      <c r="H1" s="265"/>
      <c r="I1" s="266"/>
      <c r="J1" s="266"/>
      <c r="K1" s="267"/>
      <c r="L1" s="268"/>
    </row>
    <row r="2" spans="1:12" s="32" customFormat="1" ht="20.25">
      <c r="A2" s="124" t="str">
        <f>'RFPR cover'!C5</f>
        <v>SPD</v>
      </c>
      <c r="B2" s="30"/>
      <c r="C2" s="30"/>
      <c r="D2" s="30"/>
      <c r="E2" s="30"/>
      <c r="F2" s="30"/>
      <c r="G2" s="30"/>
      <c r="H2" s="30"/>
      <c r="I2" s="27"/>
      <c r="J2" s="27"/>
      <c r="K2" s="27"/>
      <c r="L2" s="125"/>
    </row>
    <row r="3" spans="1:12" s="32" customFormat="1" ht="20.25">
      <c r="A3" s="269">
        <f>'RFPR cover'!C7</f>
        <v>2019</v>
      </c>
      <c r="B3" s="270"/>
      <c r="C3" s="270"/>
      <c r="D3" s="270"/>
      <c r="E3" s="270"/>
      <c r="F3" s="270"/>
      <c r="G3" s="270"/>
      <c r="H3" s="270"/>
      <c r="I3" s="263"/>
      <c r="J3" s="263"/>
      <c r="K3" s="263"/>
      <c r="L3" s="271"/>
    </row>
    <row r="4" spans="1:12" s="2" customFormat="1" ht="12.75" customHeight="1">
      <c r="A4" s="36"/>
      <c r="B4" s="279"/>
      <c r="C4" s="32"/>
      <c r="D4" s="280"/>
      <c r="E4" s="280"/>
      <c r="F4" s="36"/>
      <c r="G4" s="36"/>
      <c r="H4" s="36"/>
      <c r="I4" s="36"/>
      <c r="J4" s="36"/>
      <c r="K4" s="36"/>
    </row>
    <row r="5" spans="1:12" s="2" customFormat="1" ht="12.75" customHeight="1">
      <c r="A5" s="36"/>
      <c r="B5" s="279"/>
      <c r="C5" s="32"/>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row>
    <row r="6" spans="1:12" s="2" customFormat="1" ht="12.75" customHeight="1">
      <c r="A6" s="36"/>
      <c r="B6" s="36"/>
      <c r="C6" s="32"/>
      <c r="D6" s="117">
        <f>'RFPR cover'!$C$13</f>
        <v>2016</v>
      </c>
      <c r="E6" s="118">
        <f>D6+1</f>
        <v>2017</v>
      </c>
      <c r="F6" s="118">
        <f t="shared" ref="F6:K6" si="0">E6+1</f>
        <v>2018</v>
      </c>
      <c r="G6" s="118">
        <f t="shared" si="0"/>
        <v>2019</v>
      </c>
      <c r="H6" s="118">
        <f t="shared" si="0"/>
        <v>2020</v>
      </c>
      <c r="I6" s="118">
        <f t="shared" si="0"/>
        <v>2021</v>
      </c>
      <c r="J6" s="118">
        <f t="shared" si="0"/>
        <v>2022</v>
      </c>
      <c r="K6" s="202">
        <f t="shared" si="0"/>
        <v>2023</v>
      </c>
    </row>
    <row r="7" spans="1:12" s="2" customFormat="1">
      <c r="A7" s="36"/>
      <c r="B7" s="36"/>
      <c r="C7" s="32"/>
      <c r="D7" s="32"/>
      <c r="E7" s="32"/>
      <c r="F7" s="32"/>
      <c r="G7" s="32"/>
      <c r="H7" s="32"/>
      <c r="I7" s="32"/>
      <c r="J7" s="32"/>
      <c r="K7" s="32"/>
      <c r="L7" s="32"/>
    </row>
    <row r="8" spans="1:12">
      <c r="B8" s="14" t="s">
        <v>389</v>
      </c>
      <c r="C8" s="158" t="s">
        <v>128</v>
      </c>
      <c r="D8" s="779">
        <v>27.46</v>
      </c>
      <c r="E8" s="780">
        <v>27.679000000000002</v>
      </c>
      <c r="F8" s="780">
        <v>25.605</v>
      </c>
      <c r="G8" s="780">
        <v>26.602</v>
      </c>
      <c r="H8" s="780"/>
      <c r="I8" s="780"/>
      <c r="J8" s="780"/>
      <c r="K8" s="781"/>
    </row>
    <row r="9" spans="1:12">
      <c r="B9" s="16" t="s">
        <v>24</v>
      </c>
      <c r="D9" s="778"/>
      <c r="E9" s="778"/>
      <c r="F9" s="778"/>
      <c r="G9" s="778"/>
      <c r="H9" s="778"/>
      <c r="I9" s="778"/>
      <c r="J9" s="778"/>
      <c r="K9" s="778"/>
    </row>
    <row r="10" spans="1:12">
      <c r="B10" t="s">
        <v>23</v>
      </c>
      <c r="C10" s="158" t="s">
        <v>128</v>
      </c>
      <c r="D10" s="700">
        <v>26.071000000000002</v>
      </c>
      <c r="E10" s="701">
        <v>26.28</v>
      </c>
      <c r="F10" s="701">
        <v>22.216999999999999</v>
      </c>
      <c r="G10" s="701">
        <v>23.082999999999998</v>
      </c>
      <c r="H10" s="701"/>
      <c r="I10" s="701"/>
      <c r="J10" s="701"/>
      <c r="K10" s="702"/>
    </row>
    <row r="11" spans="1:12">
      <c r="B11" t="s">
        <v>25</v>
      </c>
      <c r="C11" s="158" t="s">
        <v>128</v>
      </c>
      <c r="D11" s="782">
        <v>1.3889999999999998</v>
      </c>
      <c r="E11" s="783">
        <v>1.399</v>
      </c>
      <c r="F11" s="783">
        <v>3.3879999999999999</v>
      </c>
      <c r="G11" s="783">
        <v>3.5190000000000001</v>
      </c>
      <c r="H11" s="783"/>
      <c r="I11" s="783"/>
      <c r="J11" s="783"/>
      <c r="K11" s="784"/>
    </row>
    <row r="12" spans="1:12">
      <c r="D12" s="778"/>
      <c r="E12" s="778"/>
      <c r="F12" s="778"/>
      <c r="G12" s="778"/>
      <c r="H12" s="778"/>
      <c r="I12" s="778"/>
      <c r="J12" s="778"/>
      <c r="K12" s="778"/>
    </row>
    <row r="13" spans="1:12">
      <c r="D13" s="778"/>
      <c r="E13" s="778"/>
      <c r="F13" s="778"/>
      <c r="G13" s="778"/>
      <c r="H13" s="778"/>
      <c r="I13" s="778"/>
      <c r="J13" s="778"/>
      <c r="K13" s="778"/>
    </row>
    <row r="14" spans="1:12">
      <c r="B14" t="s">
        <v>23</v>
      </c>
      <c r="C14" s="218" t="str">
        <f>'RFPR cover'!$C$14</f>
        <v>£m 12/13</v>
      </c>
      <c r="D14" s="17">
        <f>D10/Data!C$34</f>
        <v>24.587935709797907</v>
      </c>
      <c r="E14" s="17">
        <f>E10/Data!D$34</f>
        <v>24.265106116411062</v>
      </c>
      <c r="F14" s="17">
        <f>F10/Data!E$34</f>
        <v>19.773686014957732</v>
      </c>
      <c r="G14" s="17">
        <f>G10/Data!F$34</f>
        <v>19.93531077484575</v>
      </c>
      <c r="H14" s="17">
        <f>H10/Data!G$34</f>
        <v>0</v>
      </c>
      <c r="I14" s="17">
        <f>I10/Data!H$34</f>
        <v>0</v>
      </c>
      <c r="J14" s="17">
        <f>J10/Data!I$34</f>
        <v>0</v>
      </c>
      <c r="K14" s="17">
        <f>K10/Data!J$34</f>
        <v>0</v>
      </c>
    </row>
    <row r="15" spans="1:12">
      <c r="D15" s="778"/>
      <c r="E15" s="778"/>
      <c r="F15" s="778"/>
      <c r="G15" s="778"/>
      <c r="H15" s="778"/>
      <c r="I15" s="778"/>
      <c r="J15" s="778"/>
      <c r="K15" s="778"/>
    </row>
    <row r="16" spans="1:12">
      <c r="D16" s="778"/>
      <c r="E16" s="778"/>
      <c r="F16" s="778"/>
      <c r="G16" s="778"/>
      <c r="H16" s="778"/>
      <c r="I16" s="778"/>
      <c r="J16" s="778"/>
      <c r="K16" s="778"/>
    </row>
    <row r="17" spans="2:11" s="2" customFormat="1">
      <c r="B17" s="14" t="s">
        <v>314</v>
      </c>
      <c r="C17" s="218" t="str">
        <f>'RFPR cover'!$C$14</f>
        <v>£m 12/13</v>
      </c>
      <c r="D17" s="785">
        <v>28.1</v>
      </c>
      <c r="E17" s="785">
        <v>28.1</v>
      </c>
      <c r="F17" s="785">
        <v>28.1</v>
      </c>
      <c r="G17" s="785">
        <v>28.5</v>
      </c>
      <c r="H17" s="785">
        <v>0</v>
      </c>
      <c r="I17" s="785">
        <v>0</v>
      </c>
      <c r="J17" s="785">
        <v>0</v>
      </c>
      <c r="K17" s="785">
        <v>0</v>
      </c>
    </row>
    <row r="18" spans="2:11" s="2" customFormat="1">
      <c r="B18" s="208" t="s">
        <v>315</v>
      </c>
      <c r="C18" s="218" t="str">
        <f>'RFPR cover'!$C$14</f>
        <v>£m 12/13</v>
      </c>
      <c r="D18" s="785">
        <v>2.9</v>
      </c>
      <c r="E18" s="785">
        <v>2.9</v>
      </c>
      <c r="F18" s="785">
        <v>2.9</v>
      </c>
      <c r="G18" s="785">
        <v>3.3</v>
      </c>
      <c r="H18" s="785">
        <v>0</v>
      </c>
      <c r="I18" s="785">
        <v>0</v>
      </c>
      <c r="J18" s="785">
        <v>0</v>
      </c>
      <c r="K18" s="785">
        <v>0</v>
      </c>
    </row>
    <row r="19" spans="2:11" s="2" customFormat="1">
      <c r="B19" s="14" t="s">
        <v>316</v>
      </c>
      <c r="C19" s="218" t="str">
        <f>'RFPR cover'!$C$14</f>
        <v>£m 12/13</v>
      </c>
      <c r="D19" s="17">
        <f>D17-D18</f>
        <v>25.200000000000003</v>
      </c>
      <c r="E19" s="17">
        <f t="shared" ref="E19:K19" si="1">E17-E18</f>
        <v>25.200000000000003</v>
      </c>
      <c r="F19" s="17">
        <f t="shared" si="1"/>
        <v>25.200000000000003</v>
      </c>
      <c r="G19" s="17">
        <f t="shared" si="1"/>
        <v>25.2</v>
      </c>
      <c r="H19" s="17">
        <f t="shared" si="1"/>
        <v>0</v>
      </c>
      <c r="I19" s="17">
        <f t="shared" si="1"/>
        <v>0</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993" t="s">
        <v>118</v>
      </c>
      <c r="E21" s="14"/>
      <c r="F21" s="14"/>
      <c r="G21" s="14"/>
      <c r="H21" s="14"/>
      <c r="I21" s="14"/>
      <c r="J21" s="14"/>
      <c r="K21" s="14"/>
    </row>
    <row r="22" spans="2:11" s="2" customFormat="1" ht="12.75" customHeight="1">
      <c r="B22" s="14"/>
      <c r="C22" s="14"/>
      <c r="D22" s="994"/>
      <c r="E22" s="14"/>
      <c r="F22" s="14"/>
      <c r="G22" s="14"/>
      <c r="H22" s="14"/>
      <c r="I22" s="14"/>
      <c r="J22" s="14"/>
      <c r="K22" s="14"/>
    </row>
    <row r="23" spans="2:11">
      <c r="C23" s="14"/>
      <c r="D23" s="995"/>
      <c r="E23" s="14"/>
    </row>
    <row r="24" spans="2:11">
      <c r="B24" s="14" t="s">
        <v>117</v>
      </c>
      <c r="C24" s="14"/>
      <c r="D24" s="546">
        <v>42460</v>
      </c>
    </row>
    <row r="25" spans="2:11">
      <c r="B25" s="14"/>
      <c r="C25" s="14"/>
      <c r="D25" s="41"/>
      <c r="E25" s="42"/>
      <c r="F25" s="42"/>
    </row>
    <row r="26" spans="2:11">
      <c r="B26" s="208" t="s">
        <v>313</v>
      </c>
      <c r="C26" s="14"/>
      <c r="D26" s="939" t="s">
        <v>541</v>
      </c>
      <c r="E26" s="42"/>
      <c r="F26" s="42"/>
    </row>
    <row r="27" spans="2:11">
      <c r="B27" s="208"/>
      <c r="C27" s="14"/>
      <c r="D27" s="41"/>
      <c r="E27" s="42"/>
      <c r="F27" s="42"/>
    </row>
    <row r="28" spans="2:11">
      <c r="B28" s="14"/>
      <c r="D28" s="377" t="s">
        <v>282</v>
      </c>
      <c r="E28" s="42"/>
      <c r="F28" s="42"/>
    </row>
    <row r="29" spans="2:11">
      <c r="B29" t="s">
        <v>26</v>
      </c>
      <c r="D29" s="785">
        <v>582.19540000000006</v>
      </c>
    </row>
    <row r="30" spans="2:11">
      <c r="B30" t="s">
        <v>27</v>
      </c>
      <c r="D30" s="785">
        <v>4639.9051199999994</v>
      </c>
    </row>
    <row r="31" spans="2:11">
      <c r="D31" s="778"/>
    </row>
    <row r="32" spans="2:11">
      <c r="B32" t="s">
        <v>28</v>
      </c>
      <c r="D32" s="785">
        <v>448.67072270000006</v>
      </c>
    </row>
    <row r="33" spans="2:4">
      <c r="B33" t="s">
        <v>29</v>
      </c>
      <c r="D33" s="785">
        <v>3962.0062389199998</v>
      </c>
    </row>
    <row r="34" spans="2:4">
      <c r="D34" s="778"/>
    </row>
    <row r="35" spans="2:4">
      <c r="B35" s="44" t="s">
        <v>31</v>
      </c>
      <c r="D35" s="17">
        <f>D29-D32</f>
        <v>133.52467730000001</v>
      </c>
    </row>
    <row r="36" spans="2:4">
      <c r="B36" s="44" t="s">
        <v>30</v>
      </c>
      <c r="D36" s="17">
        <f>D30-D33</f>
        <v>677.89888107999968</v>
      </c>
    </row>
    <row r="37" spans="2:4">
      <c r="D37" s="778"/>
    </row>
    <row r="38" spans="2:4">
      <c r="B38" t="s">
        <v>32</v>
      </c>
      <c r="D38" s="785">
        <v>207.68293565991999</v>
      </c>
    </row>
    <row r="39" spans="2:4">
      <c r="B39" t="s">
        <v>33</v>
      </c>
      <c r="D39" s="785">
        <v>31.071326480191701</v>
      </c>
    </row>
  </sheetData>
  <mergeCells count="1">
    <mergeCell ref="D21:D23"/>
  </mergeCells>
  <conditionalFormatting sqref="D6:J6">
    <cfRule type="expression" dxfId="12" priority="38">
      <formula>AND(D$4="Actuals",E$4="Forecast")</formula>
    </cfRule>
  </conditionalFormatting>
  <conditionalFormatting sqref="D11:K11">
    <cfRule type="expression" dxfId="11" priority="32">
      <formula>D$5="Forecast"</formula>
    </cfRule>
    <cfRule type="expression" dxfId="10" priority="33">
      <formula>D$5="Actuals"</formula>
    </cfRule>
  </conditionalFormatting>
  <conditionalFormatting sqref="D8:K8">
    <cfRule type="expression" dxfId="9" priority="36">
      <formula>D$5="Forecast"</formula>
    </cfRule>
    <cfRule type="expression" dxfId="8" priority="37">
      <formula>D$5="Actuals"</formula>
    </cfRule>
  </conditionalFormatting>
  <conditionalFormatting sqref="D10:K10">
    <cfRule type="expression" dxfId="7" priority="34">
      <formula>D$5="Forecast"</formula>
    </cfRule>
    <cfRule type="expression" dxfId="6" priority="35">
      <formula>D$5="Actuals"</formula>
    </cfRule>
  </conditionalFormatting>
  <conditionalFormatting sqref="D5:K6">
    <cfRule type="expression" dxfId="5" priority="31">
      <formula>AND(D$5="Actuals",E$5="Forecast")</formula>
    </cfRule>
  </conditionalFormatting>
  <conditionalFormatting sqref="D21">
    <cfRule type="expression" dxfId="4" priority="28">
      <formula>AND(E$4="Actuals",F$4="Forecast")</formula>
    </cfRule>
  </conditionalFormatting>
  <conditionalFormatting sqref="K6">
    <cfRule type="expression" dxfId="3" priority="134">
      <formula>AND(K$4="Actuals",#REF!="Forecast")</formula>
    </cfRule>
  </conditionalFormatting>
  <conditionalFormatting sqref="K5">
    <cfRule type="expression" dxfId="2" priority="136">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M2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0.75" customWidth="1"/>
    <col min="3" max="3" width="14.125" customWidth="1"/>
    <col min="4" max="11" width="11.125" customWidth="1"/>
    <col min="12" max="12" width="5" customWidth="1"/>
  </cols>
  <sheetData>
    <row r="1" spans="1:13" s="32" customFormat="1" ht="20.25">
      <c r="A1" s="378" t="s">
        <v>258</v>
      </c>
      <c r="B1" s="265"/>
      <c r="C1" s="265"/>
      <c r="D1" s="265"/>
      <c r="E1" s="265"/>
      <c r="F1" s="265"/>
      <c r="G1" s="265"/>
      <c r="H1" s="265"/>
      <c r="I1" s="266"/>
      <c r="J1" s="266"/>
      <c r="K1" s="267"/>
      <c r="L1" s="379"/>
      <c r="M1" s="34"/>
    </row>
    <row r="2" spans="1:13" s="32" customFormat="1" ht="20.25">
      <c r="A2" s="124" t="str">
        <f>'RFPR cover'!C5</f>
        <v>SPD</v>
      </c>
      <c r="B2" s="30"/>
      <c r="C2" s="30"/>
      <c r="D2" s="30"/>
      <c r="E2" s="30"/>
      <c r="F2" s="30"/>
      <c r="G2" s="30"/>
      <c r="H2" s="30"/>
      <c r="I2" s="27"/>
      <c r="J2" s="27"/>
      <c r="K2" s="27"/>
      <c r="L2" s="125"/>
      <c r="M2" s="34"/>
    </row>
    <row r="3" spans="1:13" s="32" customFormat="1" ht="20.25">
      <c r="A3" s="269">
        <f>'RFPR cover'!C7</f>
        <v>2019</v>
      </c>
      <c r="B3" s="270"/>
      <c r="C3" s="270"/>
      <c r="D3" s="270"/>
      <c r="E3" s="270"/>
      <c r="F3" s="270"/>
      <c r="G3" s="270"/>
      <c r="H3" s="270"/>
      <c r="I3" s="263"/>
      <c r="J3" s="263"/>
      <c r="K3" s="263"/>
      <c r="L3" s="271"/>
      <c r="M3" s="34"/>
    </row>
    <row r="4" spans="1:13" s="2" customFormat="1" ht="12.75" customHeight="1">
      <c r="M4" s="34"/>
    </row>
    <row r="5" spans="1:13" s="2" customFormat="1" ht="12.75" customHeight="1">
      <c r="B5" s="3"/>
      <c r="C5" s="3"/>
      <c r="D5" s="406" t="str">
        <f>IF(D6&lt;='RFPR cover'!$C$7,"Actuals","Forecast")</f>
        <v>Actuals</v>
      </c>
      <c r="E5" s="407" t="str">
        <f>IF(E6&lt;='RFPR cover'!$C$7,"Actuals","Forecast")</f>
        <v>Actuals</v>
      </c>
      <c r="F5" s="407" t="str">
        <f>IF(F6&lt;='RFPR cover'!$C$7,"Actuals","Forecast")</f>
        <v>Actuals</v>
      </c>
      <c r="G5" s="407" t="str">
        <f>IF(G6&lt;='RFPR cover'!$C$7,"Actuals","Forecast")</f>
        <v>Actuals</v>
      </c>
      <c r="H5" s="407" t="str">
        <f>IF(H6&lt;='RFPR cover'!$C$7,"Actuals","Forecast")</f>
        <v>Forecast</v>
      </c>
      <c r="I5" s="407" t="str">
        <f>IF(I6&lt;='RFPR cover'!$C$7,"Actuals","Forecast")</f>
        <v>Forecast</v>
      </c>
      <c r="J5" s="407" t="str">
        <f>IF(J6&lt;='RFPR cover'!$C$7,"Actuals","Forecast")</f>
        <v>Forecast</v>
      </c>
      <c r="K5" s="408" t="str">
        <f>IF(K6&lt;='RFPR cover'!$C$7,"Actuals","Forecast")</f>
        <v>Forecast</v>
      </c>
      <c r="M5" s="34"/>
    </row>
    <row r="6" spans="1:13" s="2" customFormat="1" ht="12.75" customHeight="1">
      <c r="C6" s="14"/>
      <c r="D6" s="117">
        <f>'RFPR cover'!$C$13</f>
        <v>2016</v>
      </c>
      <c r="E6" s="118">
        <f>D6+1</f>
        <v>2017</v>
      </c>
      <c r="F6" s="118">
        <f t="shared" ref="F6:K6" si="0">E6+1</f>
        <v>2018</v>
      </c>
      <c r="G6" s="118">
        <f t="shared" si="0"/>
        <v>2019</v>
      </c>
      <c r="H6" s="118">
        <f t="shared" si="0"/>
        <v>2020</v>
      </c>
      <c r="I6" s="118">
        <f t="shared" si="0"/>
        <v>2021</v>
      </c>
      <c r="J6" s="118">
        <f t="shared" si="0"/>
        <v>2022</v>
      </c>
      <c r="K6" s="202">
        <f t="shared" si="0"/>
        <v>2023</v>
      </c>
    </row>
    <row r="7" spans="1:13">
      <c r="D7" s="789"/>
      <c r="E7" s="789"/>
      <c r="F7" s="789"/>
      <c r="G7" s="789"/>
      <c r="H7" s="789"/>
      <c r="I7" s="789"/>
      <c r="J7" s="789"/>
      <c r="K7" s="789"/>
    </row>
    <row r="8" spans="1:13">
      <c r="B8" s="52" t="s">
        <v>463</v>
      </c>
      <c r="C8" s="218" t="str">
        <f>'RFPR cover'!$C$14</f>
        <v>£m 12/13</v>
      </c>
      <c r="D8" s="786">
        <f>(D16+D21)/Data!C34</f>
        <v>1.614611865105827E-3</v>
      </c>
      <c r="E8" s="786">
        <f>(E16+E21)/Data!D34</f>
        <v>5.9499369792295614E-3</v>
      </c>
      <c r="F8" s="786">
        <f>(F16+F21)/Data!E34</f>
        <v>4.1164547503164698E-3</v>
      </c>
      <c r="G8" s="786">
        <f>(G16+G21)/Data!F34</f>
        <v>3.3483730740925068E-2</v>
      </c>
      <c r="H8" s="786">
        <f>(H16+H21)/Data!G34</f>
        <v>0</v>
      </c>
      <c r="I8" s="786">
        <f>(I16+I21)/Data!H34</f>
        <v>0</v>
      </c>
      <c r="J8" s="786">
        <f>(J16+J21)/Data!I34</f>
        <v>0</v>
      </c>
      <c r="K8" s="786">
        <f>(K16+K21)/Data!J34</f>
        <v>0</v>
      </c>
    </row>
    <row r="9" spans="1:13">
      <c r="D9" s="789"/>
      <c r="E9" s="789"/>
      <c r="F9" s="789"/>
      <c r="G9" s="789"/>
      <c r="H9" s="789"/>
      <c r="I9" s="789"/>
      <c r="J9" s="789"/>
      <c r="K9" s="789"/>
    </row>
    <row r="10" spans="1:13">
      <c r="B10" s="14" t="s">
        <v>447</v>
      </c>
      <c r="D10" s="789"/>
      <c r="E10" s="789"/>
      <c r="F10" s="789"/>
      <c r="G10" s="789"/>
      <c r="H10" s="789"/>
      <c r="I10" s="789"/>
      <c r="J10" s="789"/>
      <c r="K10" s="789"/>
    </row>
    <row r="11" spans="1:13">
      <c r="B11" s="45" t="s">
        <v>36</v>
      </c>
      <c r="C11" s="158" t="s">
        <v>128</v>
      </c>
      <c r="D11" s="661"/>
      <c r="E11" s="662"/>
      <c r="F11" s="662"/>
      <c r="G11" s="662"/>
      <c r="H11" s="662"/>
      <c r="I11" s="662"/>
      <c r="J11" s="662"/>
      <c r="K11" s="663"/>
    </row>
    <row r="12" spans="1:13">
      <c r="B12" s="45" t="s">
        <v>36</v>
      </c>
      <c r="C12" s="158" t="s">
        <v>128</v>
      </c>
      <c r="D12" s="661"/>
      <c r="E12" s="662"/>
      <c r="F12" s="662"/>
      <c r="G12" s="662"/>
      <c r="H12" s="662"/>
      <c r="I12" s="662"/>
      <c r="J12" s="662"/>
      <c r="K12" s="663"/>
    </row>
    <row r="13" spans="1:13">
      <c r="B13" s="45" t="s">
        <v>20</v>
      </c>
      <c r="C13" s="158" t="s">
        <v>128</v>
      </c>
      <c r="D13" s="661"/>
      <c r="E13" s="662"/>
      <c r="F13" s="662"/>
      <c r="G13" s="662"/>
      <c r="H13" s="662"/>
      <c r="I13" s="662"/>
      <c r="J13" s="662"/>
      <c r="K13" s="663"/>
    </row>
    <row r="14" spans="1:13">
      <c r="B14" s="14" t="s">
        <v>460</v>
      </c>
      <c r="C14" s="158" t="s">
        <v>128</v>
      </c>
      <c r="D14" s="786">
        <f>SUM(D11:D13)</f>
        <v>0</v>
      </c>
      <c r="E14" s="787">
        <f t="shared" ref="E14:K14" si="1">SUM(E11:E13)</f>
        <v>0</v>
      </c>
      <c r="F14" s="787">
        <f t="shared" si="1"/>
        <v>0</v>
      </c>
      <c r="G14" s="787">
        <f t="shared" si="1"/>
        <v>0</v>
      </c>
      <c r="H14" s="787">
        <f t="shared" si="1"/>
        <v>0</v>
      </c>
      <c r="I14" s="787">
        <f t="shared" si="1"/>
        <v>0</v>
      </c>
      <c r="J14" s="787">
        <f t="shared" si="1"/>
        <v>0</v>
      </c>
      <c r="K14" s="788">
        <f t="shared" si="1"/>
        <v>0</v>
      </c>
    </row>
    <row r="15" spans="1:13">
      <c r="B15" s="36" t="s">
        <v>454</v>
      </c>
      <c r="C15" s="158" t="s">
        <v>128</v>
      </c>
      <c r="D15" s="661"/>
      <c r="E15" s="662"/>
      <c r="F15" s="662"/>
      <c r="G15" s="662"/>
      <c r="H15" s="662"/>
      <c r="I15" s="662"/>
      <c r="J15" s="662"/>
      <c r="K15" s="663"/>
    </row>
    <row r="16" spans="1:13">
      <c r="B16" s="52" t="s">
        <v>461</v>
      </c>
      <c r="C16" s="158" t="s">
        <v>128</v>
      </c>
      <c r="D16" s="786">
        <f>D14-D15</f>
        <v>0</v>
      </c>
      <c r="E16" s="786">
        <f t="shared" ref="E16:K16" si="2">E14-E15</f>
        <v>0</v>
      </c>
      <c r="F16" s="786">
        <f t="shared" si="2"/>
        <v>0</v>
      </c>
      <c r="G16" s="786">
        <f t="shared" si="2"/>
        <v>0</v>
      </c>
      <c r="H16" s="786">
        <f t="shared" si="2"/>
        <v>0</v>
      </c>
      <c r="I16" s="786">
        <f t="shared" si="2"/>
        <v>0</v>
      </c>
      <c r="J16" s="786">
        <f t="shared" si="2"/>
        <v>0</v>
      </c>
      <c r="K16" s="786">
        <f t="shared" si="2"/>
        <v>0</v>
      </c>
    </row>
    <row r="18" spans="2:11">
      <c r="B18" s="14" t="s">
        <v>458</v>
      </c>
      <c r="D18" s="789"/>
      <c r="E18" s="789"/>
      <c r="F18" s="789"/>
      <c r="G18" s="789"/>
      <c r="H18" s="789"/>
      <c r="I18" s="789"/>
      <c r="J18" s="789"/>
      <c r="K18" s="789"/>
    </row>
    <row r="19" spans="2:11">
      <c r="B19" s="875" t="s">
        <v>459</v>
      </c>
      <c r="C19" s="158" t="s">
        <v>128</v>
      </c>
      <c r="D19" s="661">
        <v>2.14E-3</v>
      </c>
      <c r="E19" s="662">
        <v>8.0549999999999997E-3</v>
      </c>
      <c r="F19" s="662">
        <v>5.7099999999999998E-3</v>
      </c>
      <c r="G19" s="662">
        <v>4.7864999999999998E-2</v>
      </c>
      <c r="H19" s="662"/>
      <c r="I19" s="662"/>
      <c r="J19" s="662"/>
      <c r="K19" s="663"/>
    </row>
    <row r="20" spans="2:11">
      <c r="B20" s="36" t="s">
        <v>454</v>
      </c>
      <c r="C20" s="158" t="s">
        <v>128</v>
      </c>
      <c r="D20" s="661">
        <f>INDEX(Data!$G$14:$G$30,MATCH('R10 - Tax'!D$6,Data!$C$14:$C$30,0))*D19</f>
        <v>4.28E-4</v>
      </c>
      <c r="E20" s="662">
        <f>INDEX(Data!$G$14:$G$30,MATCH('R10 - Tax'!E$6,Data!$C$14:$C$30,0))*E19</f>
        <v>1.611E-3</v>
      </c>
      <c r="F20" s="662">
        <f>INDEX(Data!$G$14:$G$30,MATCH('R10 - Tax'!F$6,Data!$C$14:$C$30,0))*F19</f>
        <v>1.0849E-3</v>
      </c>
      <c r="G20" s="662">
        <f>INDEX(Data!$G$14:$G$30,MATCH('R10 - Tax'!G$6,Data!$C$14:$C$30,0))*G19</f>
        <v>9.0943499999999993E-3</v>
      </c>
      <c r="H20" s="662">
        <f>INDEX(Data!$G$14:$G$30,MATCH('R10 - Tax'!H$6,Data!$C$14:$C$30,0))*H19</f>
        <v>0</v>
      </c>
      <c r="I20" s="662">
        <f>INDEX(Data!$G$14:$G$30,MATCH('R10 - Tax'!I$6,Data!$C$14:$C$30,0))*I19</f>
        <v>0</v>
      </c>
      <c r="J20" s="662">
        <f>INDEX(Data!$G$14:$G$30,MATCH('R10 - Tax'!J$6,Data!$C$14:$C$30,0))*J19</f>
        <v>0</v>
      </c>
      <c r="K20" s="663">
        <f>INDEX(Data!$G$14:$G$30,MATCH('R10 - Tax'!K$6,Data!$C$14:$C$30,0))*K19</f>
        <v>0</v>
      </c>
    </row>
    <row r="21" spans="2:11">
      <c r="B21" s="52" t="s">
        <v>462</v>
      </c>
      <c r="C21" s="158" t="s">
        <v>128</v>
      </c>
      <c r="D21" s="786">
        <f>D19-D20</f>
        <v>1.712E-3</v>
      </c>
      <c r="E21" s="786">
        <f t="shared" ref="E21:K21" si="3">E19-E20</f>
        <v>6.4440000000000001E-3</v>
      </c>
      <c r="F21" s="786">
        <f t="shared" si="3"/>
        <v>4.6251E-3</v>
      </c>
      <c r="G21" s="786">
        <f t="shared" si="3"/>
        <v>3.8770649999999997E-2</v>
      </c>
      <c r="H21" s="786">
        <f t="shared" si="3"/>
        <v>0</v>
      </c>
      <c r="I21" s="786">
        <f t="shared" si="3"/>
        <v>0</v>
      </c>
      <c r="J21" s="786">
        <f t="shared" si="3"/>
        <v>0</v>
      </c>
      <c r="K21" s="786">
        <f t="shared" si="3"/>
        <v>0</v>
      </c>
    </row>
  </sheetData>
  <conditionalFormatting sqref="D6:K6">
    <cfRule type="expression" dxfId="1" priority="17">
      <formula>AND(D$4="Actuals",E$4="Forecast")</formula>
    </cfRule>
  </conditionalFormatting>
  <conditionalFormatting sqref="D5:K6">
    <cfRule type="expression" dxfId="0" priority="10">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2D607E369AAE694C81DB78B35F6C2191" ma:contentTypeVersion="0" ma:contentTypeDescription="Create a new document." ma:contentTypeScope="" ma:versionID="52ecb9dcf6b095733a6c10d2e39578b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285FE4-1466-4BF7-8FA9-67F63A3D57B8}">
  <ds:schemaRef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B088812-164B-440B-BA31-E109D6F1E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Alasdair Gaw</cp:lastModifiedBy>
  <cp:lastPrinted>2019-07-11T07:16:40Z</cp:lastPrinted>
  <dcterms:created xsi:type="dcterms:W3CDTF">2018-06-13T08:32:09Z</dcterms:created>
  <dcterms:modified xsi:type="dcterms:W3CDTF">2019-09-06T14:35:18Z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-27053191</vt:i4>
  </property>
  <property fmtid="{D5CDD505-2E9C-101B-9397-08002B2CF9AE}" pid="6" name="_EmailSubject">
    <vt:lpwstr>Web Development Task Assigned - Request ID: 2715</vt:lpwstr>
  </property>
  <property fmtid="{D5CDD505-2E9C-101B-9397-08002B2CF9AE}" pid="7" name="_AuthorEmail">
    <vt:lpwstr>elaine.morris@spenergynetworks.co.uk</vt:lpwstr>
  </property>
  <property fmtid="{D5CDD505-2E9C-101B-9397-08002B2CF9AE}" pid="8" name="_AuthorEmailDisplayName">
    <vt:lpwstr>Morris, Elaine</vt:lpwstr>
  </property>
  <property fmtid="{D5CDD505-2E9C-101B-9397-08002B2CF9AE}" pid="10" name="ContentTypeId">
    <vt:lpwstr>0x0101002D607E369AAE694C81DB78B35F6C2191</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_dlc_DocIdItemGuid">
    <vt:lpwstr>24be1f38-0f6a-4097-b33f-03cf426928d4</vt:lpwstr>
  </property>
  <property fmtid="{D5CDD505-2E9C-101B-9397-08002B2CF9AE}" pid="22" name="_PreviousAdHocReviewCycleID">
    <vt:i4>913554583</vt:i4>
  </property>
</Properties>
</file>